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625" windowHeight="7875" activeTab="0"/>
  </bookViews>
  <sheets>
    <sheet name="Instructions" sheetId="1" r:id="rId1"/>
    <sheet name="Page 1" sheetId="2" r:id="rId2"/>
    <sheet name="Page 2" sheetId="3" r:id="rId3"/>
    <sheet name="Calculator" sheetId="4" state="hidden" r:id="rId4"/>
    <sheet name="Calculator (2)" sheetId="5" state="hidden" r:id="rId5"/>
    <sheet name="Econ" sheetId="6" state="hidden" r:id="rId6"/>
    <sheet name="Econ (2)" sheetId="7" state="hidden" r:id="rId7"/>
    <sheet name="location" sheetId="8" state="hidden" r:id="rId8"/>
    <sheet name="T-mains" sheetId="9" state="hidden" r:id="rId9"/>
    <sheet name="T-mains_chrt" sheetId="10" state="hidden" r:id="rId10"/>
    <sheet name="egUSAruns (N)" sheetId="11" state="hidden" r:id="rId11"/>
    <sheet name="egUSAruns (C)" sheetId="12" state="hidden" r:id="rId12"/>
    <sheet name="egUSAruns (S)" sheetId="13" state="hidden" r:id="rId13"/>
    <sheet name="egUSA_Chrt1" sheetId="14" state="hidden" r:id="rId14"/>
    <sheet name="Generic Systems" sheetId="15" state="hidden" r:id="rId15"/>
  </sheets>
  <definedNames>
    <definedName name="disc_rate_2">'Econ (2)'!$D$5</definedName>
    <definedName name="discount_rate" localSheetId="6">'Econ (2)'!$D$5</definedName>
    <definedName name="discount_rate">'Econ'!$D$5</definedName>
    <definedName name="use_factor">'Calculator (2)'!$D$3</definedName>
  </definedNames>
  <calcPr fullCalcOnLoad="1"/>
</workbook>
</file>

<file path=xl/comments2.xml><?xml version="1.0" encoding="utf-8"?>
<comments xmlns="http://schemas.openxmlformats.org/spreadsheetml/2006/main">
  <authors>
    <author>FSEC</author>
  </authors>
  <commentList>
    <comment ref="C20" authorId="0">
      <text>
        <r>
          <rPr>
            <b/>
            <sz val="8"/>
            <rFont val="Tahoma"/>
            <family val="0"/>
          </rPr>
          <t>FSEC:</t>
        </r>
        <r>
          <rPr>
            <sz val="8"/>
            <rFont val="Tahoma"/>
            <family val="0"/>
          </rPr>
          <t xml:space="preserve">
Assumed value depends on #people in home and climate region.</t>
        </r>
      </text>
    </comment>
    <comment ref="C22" authorId="0">
      <text>
        <r>
          <rPr>
            <b/>
            <sz val="8"/>
            <rFont val="Tahoma"/>
            <family val="0"/>
          </rPr>
          <t>FSEC:</t>
        </r>
        <r>
          <rPr>
            <sz val="8"/>
            <rFont val="Tahoma"/>
            <family val="0"/>
          </rPr>
          <t xml:space="preserve">
Assumed value depends on #people in home and climate region.</t>
        </r>
      </text>
    </comment>
  </commentList>
</comments>
</file>

<file path=xl/sharedStrings.xml><?xml version="1.0" encoding="utf-8"?>
<sst xmlns="http://schemas.openxmlformats.org/spreadsheetml/2006/main" count="917" uniqueCount="360">
  <si>
    <t>lb/gal</t>
  </si>
  <si>
    <t>H2O density</t>
  </si>
  <si>
    <t>Tank Setpoint</t>
  </si>
  <si>
    <t>F</t>
  </si>
  <si>
    <t>gpd</t>
  </si>
  <si>
    <t>Btu/lb-F</t>
  </si>
  <si>
    <t>Inlet Temp</t>
  </si>
  <si>
    <t>Daily Load</t>
  </si>
  <si>
    <t>Btu/day</t>
  </si>
  <si>
    <t>Annual Load</t>
  </si>
  <si>
    <t>[ = Daily Load * 365 / 1000 ]</t>
  </si>
  <si>
    <t>[ = Use * density * specific heat * (Setpoint - Inlet Temp) ]</t>
  </si>
  <si>
    <t>[ = 30 + 10 * # Occupants ]</t>
  </si>
  <si>
    <t>per kWh</t>
  </si>
  <si>
    <t>IRS Tax Credit</t>
  </si>
  <si>
    <t>Simple payback</t>
  </si>
  <si>
    <t>years</t>
  </si>
  <si>
    <t>Load Variables:</t>
  </si>
  <si>
    <t>H2O Use (gal/day)</t>
  </si>
  <si>
    <t>H2O Specific Heat</t>
  </si>
  <si>
    <t>[ determined by FL location input ]</t>
  </si>
  <si>
    <t>[ standard value ]</t>
  </si>
  <si>
    <t>[ per plumbing code and system standards ]</t>
  </si>
  <si>
    <t>Std. System Energy</t>
  </si>
  <si>
    <t>Year</t>
  </si>
  <si>
    <t>Gen Inflation</t>
  </si>
  <si>
    <t>Fuel Escalation</t>
  </si>
  <si>
    <t>Standard System</t>
  </si>
  <si>
    <t>Solar System</t>
  </si>
  <si>
    <t>Maintanence</t>
  </si>
  <si>
    <t>1st Cost</t>
  </si>
  <si>
    <t>Energy $</t>
  </si>
  <si>
    <t>Cum $</t>
  </si>
  <si>
    <t>Maint $</t>
  </si>
  <si>
    <t>Savings</t>
  </si>
  <si>
    <t>Std. System</t>
  </si>
  <si>
    <t>Solar Savings</t>
  </si>
  <si>
    <t>after 10 years</t>
  </si>
  <si>
    <t>after 20 years</t>
  </si>
  <si>
    <t>after 30 years</t>
  </si>
  <si>
    <t>after 5 years</t>
  </si>
  <si>
    <t>after 15 years</t>
  </si>
  <si>
    <t>after 25 years</t>
  </si>
  <si>
    <t>Life Cycle Cost Analysis:</t>
  </si>
  <si>
    <t>Yes</t>
  </si>
  <si>
    <t>No</t>
  </si>
  <si>
    <t>Discount Rate</t>
  </si>
  <si>
    <t>Date</t>
  </si>
  <si>
    <t>Internal Rate of Return</t>
  </si>
  <si>
    <t>Net Present Value</t>
  </si>
  <si>
    <t>[ see Econ tab ]</t>
  </si>
  <si>
    <t>Cum Solar</t>
  </si>
  <si>
    <t>Economic Calculations:</t>
  </si>
  <si>
    <t>NPV =</t>
  </si>
  <si>
    <t>IRR =</t>
  </si>
  <si>
    <t>Cash Flows:</t>
  </si>
  <si>
    <t>An. Solar</t>
  </si>
  <si>
    <t>Calc</t>
  </si>
  <si>
    <t>FL Utility Rebate</t>
  </si>
  <si>
    <t>FL State Rebate</t>
  </si>
  <si>
    <t>Std. System EF</t>
  </si>
  <si>
    <t>Solar System EF</t>
  </si>
  <si>
    <t>No. Occupants</t>
  </si>
  <si>
    <t>FL Location</t>
  </si>
  <si>
    <t>North</t>
  </si>
  <si>
    <t>Central</t>
  </si>
  <si>
    <t>South</t>
  </si>
  <si>
    <t>Solar System Cost</t>
  </si>
  <si>
    <t>Economic Indicators:</t>
  </si>
  <si>
    <t>Load &amp; Energy Calculations:</t>
  </si>
  <si>
    <t>replace tank</t>
  </si>
  <si>
    <t>replace tank &amp; pump</t>
  </si>
  <si>
    <t>$/year</t>
  </si>
  <si>
    <t>Retail Elect. Price</t>
  </si>
  <si>
    <t>[ = Solar Energy Savings * Retail Elect. Price ]</t>
  </si>
  <si>
    <t>[ = Net Solar Cost / Solar Dollar Savings ]</t>
  </si>
  <si>
    <t>PV of</t>
  </si>
  <si>
    <t>Florida Solar Hot Water Calculator</t>
  </si>
  <si>
    <t>Electric</t>
  </si>
  <si>
    <t>Natural gas</t>
  </si>
  <si>
    <t>Std. System Type</t>
  </si>
  <si>
    <t>Retail Gas Price</t>
  </si>
  <si>
    <t>Gas</t>
  </si>
  <si>
    <t>per therm</t>
  </si>
  <si>
    <t>kBtu/yr</t>
  </si>
  <si>
    <t>[ = Annual Load / Std. EF / (3.412 for kWh OR 100 for therms) ]</t>
  </si>
  <si>
    <t>[ = Annual Load / Solar EF / (3.412 for kWh OR 100 for therms) ]</t>
  </si>
  <si>
    <t>[Progress Energy only]</t>
  </si>
  <si>
    <t>Std. System Offset</t>
  </si>
  <si>
    <t>[ assumes minimum standard 52 gallon system ]</t>
  </si>
  <si>
    <t>[ portion of standard system cost that is avoided by solar system (e.g. standard electric tank) ]</t>
  </si>
  <si>
    <t>Std. System Cost</t>
  </si>
  <si>
    <t>[ = Solar System Cost - IRS Tax Credit - FL State Rebate - FL Utility Rebate - Std. System Offset ]</t>
  </si>
  <si>
    <t>[ assumes $300 for electric and $500 for gas]</t>
  </si>
  <si>
    <t>Net Solar System Cost</t>
  </si>
  <si>
    <t>CO2:</t>
  </si>
  <si>
    <t>lb/kWh</t>
  </si>
  <si>
    <t>lb/therm</t>
  </si>
  <si>
    <t>CO2 Savings</t>
  </si>
  <si>
    <t>Solar Dollar Savings</t>
  </si>
  <si>
    <t>Solar Energy Savings</t>
  </si>
  <si>
    <t>$/ton</t>
  </si>
  <si>
    <t>RECs Dollar Value</t>
  </si>
  <si>
    <t>CO2 Dollar Value</t>
  </si>
  <si>
    <t>$/kWh</t>
  </si>
  <si>
    <t>Other Economic Values:</t>
  </si>
  <si>
    <t>Total Other Value</t>
  </si>
  <si>
    <t>$/therm</t>
  </si>
  <si>
    <t>EPA Emissions Data (eGrid v2.1)</t>
  </si>
  <si>
    <t>Other Fixed Variables:</t>
  </si>
  <si>
    <t>EIA price data (as of August 2007)</t>
  </si>
  <si>
    <t>of installed cost</t>
  </si>
  <si>
    <t xml:space="preserve">  installed cost</t>
  </si>
  <si>
    <t>How many people live in your home?</t>
  </si>
  <si>
    <t>User Inputs:</t>
  </si>
  <si>
    <t>CRF =</t>
  </si>
  <si>
    <t>[ = discount_rate/(1-(1_discount_rate)^-life) ]</t>
  </si>
  <si>
    <t>Levelized Cost =</t>
  </si>
  <si>
    <t>CCE =</t>
  </si>
  <si>
    <t>Levelized cost of savings</t>
  </si>
  <si>
    <t>Solar System Cost =</t>
  </si>
  <si>
    <t>Solar System Energy Factor (EF) =</t>
  </si>
  <si>
    <t>IRS Tax Credit (30% of Cost) =</t>
  </si>
  <si>
    <t>FL State Rebate =</t>
  </si>
  <si>
    <t>FL Utility Rebate =</t>
  </si>
  <si>
    <t>lb/year</t>
  </si>
  <si>
    <t>Simplified Solar Hot Water System Calculator:</t>
  </si>
  <si>
    <t>per annum</t>
  </si>
  <si>
    <t>Annual energy cost savings =</t>
  </si>
  <si>
    <t>Annual solar energy savings =</t>
  </si>
  <si>
    <t>Annual CO2 savings =</t>
  </si>
  <si>
    <t>Simple payback period =</t>
  </si>
  <si>
    <t>present $</t>
  </si>
  <si>
    <t>Net Present Value of investment =</t>
  </si>
  <si>
    <t>[ Net Present Value (NPV) equals the Present Value, calculated at the discount rate, of all future cash flows minus the investment cost, which is assumed to occur in the initial year ]</t>
  </si>
  <si>
    <t>Standard System Type =</t>
  </si>
  <si>
    <t>[ ~90% of Florida residences do not have access to natural gas ]</t>
  </si>
  <si>
    <t>[ Number of years for the solar system to completely pay for itself -- generally much shorter than its useful lifetime of about 30 years ]</t>
  </si>
  <si>
    <t>[ Difference in carbon dioxide emissions between standard and solar system ]</t>
  </si>
  <si>
    <t>[ Annual compound interest rate the savings from the solar system investment produces over its useful lifetime ]</t>
  </si>
  <si>
    <t>General Inflation Rate =</t>
  </si>
  <si>
    <t>Discount Rate =</t>
  </si>
  <si>
    <t>[ Generally accepted annual cost of living inflation rate ]</t>
  </si>
  <si>
    <t>[ Determines the amount of hot water used in the home ]</t>
  </si>
  <si>
    <t>[ Determines the temperature of the city water coming into the hot water system ]</t>
  </si>
  <si>
    <t>[ Only the actual installed product rating will yield accurate calculator results ]</t>
  </si>
  <si>
    <t>[ Only for systems manufactured in Florida, otherwise $300 ]</t>
  </si>
  <si>
    <t>[ Only presently available in Progress Energy territory ]</t>
  </si>
  <si>
    <t>Comments:</t>
  </si>
  <si>
    <t>[ Only avaliable for solar systems with EF &gt; 1.8 ]</t>
  </si>
  <si>
    <t>In what area of Florida do you live?</t>
  </si>
  <si>
    <t>[ Difference in annual operating cost between standard and solar system ]</t>
  </si>
  <si>
    <t>[ Difference in annual energy use between standard and solar system ]</t>
  </si>
  <si>
    <t>Internal Rate of Return on investment =</t>
  </si>
  <si>
    <t>Revised Solar Hot Water System Calculator:</t>
  </si>
  <si>
    <t>Solar System Energy Factor (EF):</t>
  </si>
  <si>
    <t>Solar System Cost:</t>
  </si>
  <si>
    <t>IRS Tax Credit (30% of Cost):</t>
  </si>
  <si>
    <t>FL Utility Rebate Amount:</t>
  </si>
  <si>
    <t>Standard System Type:</t>
  </si>
  <si>
    <t>Discount Rate:</t>
  </si>
  <si>
    <t>General Inflation Rate:</t>
  </si>
  <si>
    <t>Electricity Price =</t>
  </si>
  <si>
    <t>Natural Gas Price =</t>
  </si>
  <si>
    <t>[ Enter utility program cash rebate or incentive, if available ]</t>
  </si>
  <si>
    <t>Solar Hot Water Energy Factor Correlations -- from EnergyGauge 2.7.02 simulations</t>
  </si>
  <si>
    <t>Tampa TMY2 weather:</t>
  </si>
  <si>
    <t># Occ</t>
  </si>
  <si>
    <t>Std.Sys.*</t>
  </si>
  <si>
    <t>Solar**</t>
  </si>
  <si>
    <t>SolSave</t>
  </si>
  <si>
    <t>SolFrac</t>
  </si>
  <si>
    <t>SEF</t>
  </si>
  <si>
    <t>nSEF</t>
  </si>
  <si>
    <t># Occ^2</t>
  </si>
  <si>
    <t>pred</t>
  </si>
  <si>
    <t>* 52 gal, electric, EF=0.90</t>
  </si>
  <si>
    <t>SUMMARY OUTPUT</t>
  </si>
  <si>
    <t>Regression Statistics</t>
  </si>
  <si>
    <t>Multiple R</t>
  </si>
  <si>
    <t>R Square</t>
  </si>
  <si>
    <t>Adjusted R Square</t>
  </si>
  <si>
    <t>Standard Error</t>
  </si>
  <si>
    <t>Observations</t>
  </si>
  <si>
    <t>ANOVA</t>
  </si>
  <si>
    <t>df</t>
  </si>
  <si>
    <t>SS</t>
  </si>
  <si>
    <t>MS</t>
  </si>
  <si>
    <t>Significance F</t>
  </si>
  <si>
    <t>Regression</t>
  </si>
  <si>
    <t>Residual</t>
  </si>
  <si>
    <t>Total</t>
  </si>
  <si>
    <t>Coefficients</t>
  </si>
  <si>
    <t>t Stat</t>
  </si>
  <si>
    <t>P-value</t>
  </si>
  <si>
    <t>Lower 95%</t>
  </si>
  <si>
    <t>Upper 95%</t>
  </si>
  <si>
    <t>Lower 95.0%</t>
  </si>
  <si>
    <t>Upper 95.0%</t>
  </si>
  <si>
    <t>Intercept</t>
  </si>
  <si>
    <t>X Variable 1</t>
  </si>
  <si>
    <t>X Variable 2</t>
  </si>
  <si>
    <t>** 40 sf; 80 gal; open loop; PV pump; loss coeff = 0.7344; tank U = 0.1233; tilt 27 deg; azimuth 180 deg</t>
  </si>
  <si>
    <t>FL State Rebate:</t>
  </si>
  <si>
    <t>Sol Sys Backup Energy</t>
  </si>
  <si>
    <t>[ = Std. System Energy - Sol Sys Backup Energy ]</t>
  </si>
  <si>
    <t>Tampa</t>
  </si>
  <si>
    <t>Daytona Beach</t>
  </si>
  <si>
    <t>Jacksonville</t>
  </si>
  <si>
    <t>Key West</t>
  </si>
  <si>
    <t>Miami</t>
  </si>
  <si>
    <t>Tallahassee</t>
  </si>
  <si>
    <t>West Palm Beach</t>
  </si>
  <si>
    <t>Drainback, sidearm HX</t>
  </si>
  <si>
    <t>Drainback, tank wrap HX</t>
  </si>
  <si>
    <t>Direct, diff</t>
  </si>
  <si>
    <t>Direct, PV</t>
  </si>
  <si>
    <t>ICS, Single</t>
  </si>
  <si>
    <t>ICS, Double</t>
  </si>
  <si>
    <t>Energy Factor (EF)</t>
  </si>
  <si>
    <t>System Configuration</t>
  </si>
  <si>
    <t>Tank
(gallons)</t>
  </si>
  <si>
    <t>Indirect, tank wrap, glycol</t>
  </si>
  <si>
    <t>Collector
(ft2)</t>
  </si>
  <si>
    <t>Inlet Water Mains Temperatures for Florida TMY2 sites:</t>
  </si>
  <si>
    <t>Jan</t>
  </si>
  <si>
    <t>Feb</t>
  </si>
  <si>
    <t>Mar</t>
  </si>
  <si>
    <t>Apr</t>
  </si>
  <si>
    <t>May</t>
  </si>
  <si>
    <t>Jun</t>
  </si>
  <si>
    <t>Jul</t>
  </si>
  <si>
    <t>Aug</t>
  </si>
  <si>
    <t>Sep</t>
  </si>
  <si>
    <t>Oct</t>
  </si>
  <si>
    <t>Nov</t>
  </si>
  <si>
    <t>Dec</t>
  </si>
  <si>
    <t>AnnAvg</t>
  </si>
  <si>
    <t>North Avg:</t>
  </si>
  <si>
    <t>Central Avg:</t>
  </si>
  <si>
    <t>South Avg:</t>
  </si>
  <si>
    <t>Monthly Energy Use</t>
  </si>
  <si>
    <t>Location</t>
  </si>
  <si>
    <t>[ EIA 2006 State Average ]</t>
  </si>
  <si>
    <t>[ EIA September 2007 State Average ]</t>
  </si>
  <si>
    <t>Solar Savings Results:</t>
  </si>
  <si>
    <t>Revised Solar Savings Results:</t>
  </si>
  <si>
    <t>Economic Results:</t>
  </si>
  <si>
    <t>Revised Economic Results:</t>
  </si>
  <si>
    <t xml:space="preserve">Examples of Generic Solar Thermal Systems </t>
  </si>
  <si>
    <t>Load</t>
  </si>
  <si>
    <t>Standard rating condition</t>
  </si>
  <si>
    <t>SEF,corr =</t>
  </si>
  <si>
    <t>Standard Gas system</t>
  </si>
  <si>
    <t>Standard Elec System</t>
  </si>
  <si>
    <t>therms**</t>
  </si>
  <si>
    <t>EFg</t>
  </si>
  <si>
    <t>nEFg</t>
  </si>
  <si>
    <t>Efe</t>
  </si>
  <si>
    <t>nEFe</t>
  </si>
  <si>
    <t>EFg,corr = EFg * (0.782 + 0.0767 * #Occ - 0.0042 * #Occ^2)</t>
  </si>
  <si>
    <t>EFe,corr =</t>
  </si>
  <si>
    <t>EFg,corr =</t>
  </si>
  <si>
    <t>kWh/year</t>
  </si>
  <si>
    <t xml:space="preserve">Assumptions used to achieve the above results: </t>
  </si>
  <si>
    <t>Please answer the following two questions:</t>
  </si>
  <si>
    <t>Input revised values in pale yellow cells below:</t>
  </si>
  <si>
    <t>[ Select either Electric or Gas ]</t>
  </si>
  <si>
    <t>[ Select "Yes" if solar system EF &gt; 1.8, otherwise "No"</t>
  </si>
  <si>
    <t>[ Enter total dollars paid to utility divided by total kWh of electricity used ]</t>
  </si>
  <si>
    <t>[ Enter total dollars paid to utility divided by total therms of gas used ]</t>
  </si>
  <si>
    <t>[ Only dealer quotes for installed solar system cost will yield accurate calculator results ]</t>
  </si>
  <si>
    <t>[ Generally accepted rate for capitol investments made by corporations ]</t>
  </si>
  <si>
    <t>[ U.S. Energy Information Administration:  Florida Statewide average for September 2007 ]</t>
  </si>
  <si>
    <t>[ U.S. Energy Information Administration:  Florida Statewide average for 2006 ]</t>
  </si>
  <si>
    <t>** 64 sf; 120 gal; open loop; PV pump; loss coeff = 0.9; tank U = 0.14; tilt 27 deg; azimuth 180 deg</t>
  </si>
  <si>
    <t>SEF,corr = SEF * (1.57 - 0.187 * #Occ +0.0076 * #Occ^2)</t>
  </si>
  <si>
    <t>#Occ</t>
  </si>
  <si>
    <t>Storage</t>
  </si>
  <si>
    <t>Collector</t>
  </si>
  <si>
    <t>40 sf</t>
  </si>
  <si>
    <t>2@32</t>
  </si>
  <si>
    <t>2@40 sf</t>
  </si>
  <si>
    <t>Solar Systems:</t>
  </si>
  <si>
    <t>ICS 32sf</t>
  </si>
  <si>
    <t>32 sf</t>
  </si>
  <si>
    <t>ICS 50sf</t>
  </si>
  <si>
    <t>Jacksonville TMY2 weather:</t>
  </si>
  <si>
    <t>** 40 sf; 80 gal; closed loop; PV pump; loss coeff = 0.7344; tank U = 0.1233; tilt 27 deg; azimuth 180 deg</t>
  </si>
  <si>
    <t>Miami TMY2 weather:</t>
  </si>
  <si>
    <t>EFe,corr = EFe * (0.924 + 0.0274 * #Occ - 0.00166 * #Occ^2)</t>
  </si>
  <si>
    <t>EFe,corr = EFe * (0.920 + 0.0286 * #Occ - 0.00172 * #Occ^2)</t>
  </si>
  <si>
    <t>EFe,corr = EFe * (0.917 + 0.030 * #Occ - 0.00181 * #Occ^2)</t>
  </si>
  <si>
    <t>SEF,corr = SEF * (2.208 - 0.445 * #Occ +0.0287 * #Occ^2)</t>
  </si>
  <si>
    <t>SEF,corr = SEF * (1.960 - 0.350 * #Occ +0.0211 * #Occ^2)</t>
  </si>
  <si>
    <t>SEF,corr = SEF * (1.760 - 0.277 * #Occ +0.0170 * #Occ^2)</t>
  </si>
  <si>
    <t>Active</t>
  </si>
  <si>
    <t>wrt N</t>
  </si>
  <si>
    <t>Cost (N)</t>
  </si>
  <si>
    <t>SEF,rated (N)</t>
  </si>
  <si>
    <t>T-mains:</t>
  </si>
  <si>
    <t>SEF,Corr:</t>
  </si>
  <si>
    <t>EFe,corr:</t>
  </si>
  <si>
    <t>Florida climate zone =</t>
  </si>
  <si>
    <t>Number of people living in home =</t>
  </si>
  <si>
    <t>Natural gas (EFg, std)</t>
  </si>
  <si>
    <t>** Minimum standard 50 gallon system; EF = 0.59</t>
  </si>
  <si>
    <t>EFe</t>
  </si>
  <si>
    <t>Fuel Escallation Rate =</t>
  </si>
  <si>
    <t>[ Generally accepted rate based on past history ]</t>
  </si>
  <si>
    <t>EFg,corr = EFg * (0.784 + 0.0772 * #Occ - 0.0041 * #Occ^2)</t>
  </si>
  <si>
    <t>EFg,corr = EFg * (0.794 + 0.0735 * #Occ - 0.0040 * #Occ^2)</t>
  </si>
  <si>
    <t>[ Return to Page 1 to change this assumption ]</t>
  </si>
  <si>
    <t>[ Enter the annual rate at which fuel costs increase over and above the general inflation rate ]</t>
  </si>
  <si>
    <t>[ Enter annual compound discount rate ]</t>
  </si>
  <si>
    <t>[ Enter annual compound general inflation rate ]</t>
  </si>
  <si>
    <t>Retail Natural Gas Price =</t>
  </si>
  <si>
    <t>Retail Electricity Price =</t>
  </si>
  <si>
    <t>Solar Fraction</t>
  </si>
  <si>
    <t>[ = (Std.System Energy - Sol System Backup Energy) / (std. System Energy) ]</t>
  </si>
  <si>
    <t>percent</t>
  </si>
  <si>
    <t>Annual Solar Fraction =</t>
  </si>
  <si>
    <t>[ Percentage of hot water energy provided by solar energy ]</t>
  </si>
  <si>
    <t>Cost of solar energy savings =</t>
  </si>
  <si>
    <t>High</t>
  </si>
  <si>
    <t>Medium</t>
  </si>
  <si>
    <t>Low</t>
  </si>
  <si>
    <t>Hot Water Use Intensity:</t>
  </si>
  <si>
    <t>[ Estimate the relative intensity of hot water use in the home (e.g. 2 teenagers in home would probably be "High" ]</t>
  </si>
  <si>
    <t>Proceed to Page 2 to revise these assumptions.</t>
  </si>
  <si>
    <t>Hot Water Use Intensity =</t>
  </si>
  <si>
    <t>To view or hide assumptions for the above results, click on the [+] or [-] sign in the left margin</t>
  </si>
  <si>
    <t>[ Modifies gallons per day of hot water use by 1.5 (high), 1.0 (medium) &amp; 0.5 (low), respectively ]</t>
  </si>
  <si>
    <r>
      <t>NOTE:</t>
    </r>
    <r>
      <rPr>
        <sz val="10"/>
        <rFont val="Arial"/>
        <family val="0"/>
      </rPr>
      <t xml:space="preserve">  If cells C16 &amp; C17 result is the value </t>
    </r>
    <r>
      <rPr>
        <b/>
        <sz val="10"/>
        <rFont val="Arial"/>
        <family val="2"/>
      </rPr>
      <t>#NAME?</t>
    </r>
    <r>
      <rPr>
        <sz val="10"/>
        <rFont val="Arial"/>
        <family val="0"/>
      </rPr>
      <t xml:space="preserve">, then you must enable the Analysis Toolpack.  Take the following actions: select </t>
    </r>
    <r>
      <rPr>
        <i/>
        <sz val="10"/>
        <rFont val="Arial"/>
        <family val="2"/>
      </rPr>
      <t>Tools &gt; Add Ins …</t>
    </r>
    <r>
      <rPr>
        <sz val="10"/>
        <rFont val="Arial"/>
        <family val="0"/>
      </rPr>
      <t xml:space="preserve"> from the menu bar at the top of the screen, check the Analysis Toolpack selection and click OK.  Excel will then install the Analysis Toolpack.  Reload this spreadsheet and the values in cells C16 &amp; C17 will function properly.</t>
    </r>
  </si>
  <si>
    <t xml:space="preserve">[ Enter from Lookup based on system at this web site: </t>
  </si>
  <si>
    <t>http://www.flaseia.org/</t>
  </si>
  <si>
    <t>http://www.fsec.ucf.edu/en/industry/testing/STsystems/ratings/</t>
  </si>
  <si>
    <t xml:space="preserve">[ Enter quote for installed system -- find dealers/installers at this web site:  </t>
  </si>
  <si>
    <t>[ Select "Yes" if elegible see this web site:</t>
  </si>
  <si>
    <t>http://www.dep.state.fl.us/energy/incentives.htm</t>
  </si>
  <si>
    <r>
      <t>Page 1:</t>
    </r>
    <r>
      <rPr>
        <sz val="10"/>
        <rFont val="Arial"/>
        <family val="0"/>
      </rPr>
      <t xml:space="preserve">  To use this calculator, select the Page 1 tab and answer the two questions at the top of the form using the pull down menus provided by the pale yellow cells (Just click on the pale yellow cells and the pull-down menu will appear.  </t>
    </r>
  </si>
  <si>
    <t>Brief Instructions:</t>
  </si>
  <si>
    <t xml:space="preserve"> </t>
  </si>
  <si>
    <t>For the second question, if your home is north of Volusia county, select "North" and if your home is south of St. Lucie County, select "South."  Otherwise, select "Central."</t>
  </si>
  <si>
    <t>This is a simplified residential solar hot water system calculator.  It provides consumer information on the energy, cost and environmental savings potential of residential solar hot water systems in Florida.</t>
  </si>
  <si>
    <r>
      <t>Page 2:</t>
    </r>
    <r>
      <rPr>
        <sz val="10"/>
        <rFont val="Arial"/>
        <family val="0"/>
      </rPr>
      <t xml:space="preserve">  This tab is used to refine the assumptions used on Page 1.  Each input parameter can be modified on the Page 2 tab to suit the consumer's individual situation.</t>
    </r>
  </si>
  <si>
    <t>The calculator for Page 1 depends on a number of pre-selected assumptions.  To view these assumptions, click on the [+] sign at the left-hand side of the screen.</t>
  </si>
  <si>
    <t>F-Chart</t>
  </si>
  <si>
    <t>Cocoa (meas)</t>
  </si>
  <si>
    <t>NREL (adj)</t>
  </si>
  <si>
    <t>NREL</t>
  </si>
  <si>
    <t>Load@64.3 gpd</t>
  </si>
  <si>
    <t>Average:</t>
  </si>
  <si>
    <t>degredation per year</t>
  </si>
  <si>
    <t>Total degredation:</t>
  </si>
  <si>
    <t>Solar</t>
  </si>
  <si>
    <t>kWh/day</t>
  </si>
  <si>
    <t>Average</t>
  </si>
  <si>
    <t>3.7 persons</t>
  </si>
  <si>
    <t>67 gpd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</si>
</sst>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quot;$&quot;#,##0.00;[Red]&quot;$&quot;#,##0.00"/>
    <numFmt numFmtId="169" formatCode="#,##0.00;[Red]#,##0.00"/>
    <numFmt numFmtId="170" formatCode="#,##0;[Red]#,##0"/>
    <numFmt numFmtId="171" formatCode="&quot;$&quot;#,##0;[Red]&quot;$&quot;#,##0"/>
    <numFmt numFmtId="172" formatCode="[$-409]dddd\,\ mmmm\ dd\,\ yyyy"/>
    <numFmt numFmtId="173" formatCode="m/d/yy;@"/>
    <numFmt numFmtId="174" formatCode="0.0%"/>
    <numFmt numFmtId="175" formatCode="&quot;$&quot;#,##0.0000"/>
    <numFmt numFmtId="176" formatCode="0.000"/>
    <numFmt numFmtId="177" formatCode="0.00000"/>
    <numFmt numFmtId="178" formatCode="&quot;$&quot;#,##0.000"/>
    <numFmt numFmtId="179" formatCode="&quot;Yes&quot;;&quot;Yes&quot;;&quot;No&quot;"/>
    <numFmt numFmtId="180" formatCode="&quot;True&quot;;&quot;True&quot;;&quot;False&quot;"/>
    <numFmt numFmtId="181" formatCode="&quot;On&quot;;&quot;On&quot;;&quot;Off&quot;"/>
    <numFmt numFmtId="182" formatCode="[$€-2]\ #,##0.00_);[Red]\([$€-2]\ #,##0.00\)"/>
  </numFmts>
  <fonts count="23">
    <font>
      <sz val="10"/>
      <name val="Arial"/>
      <family val="0"/>
    </font>
    <font>
      <sz val="8"/>
      <name val="Arial"/>
      <family val="0"/>
    </font>
    <font>
      <b/>
      <sz val="10"/>
      <name val="Arial"/>
      <family val="2"/>
    </font>
    <font>
      <b/>
      <sz val="12"/>
      <name val="Arial"/>
      <family val="2"/>
    </font>
    <font>
      <sz val="12"/>
      <name val="Arial"/>
      <family val="2"/>
    </font>
    <font>
      <i/>
      <sz val="10"/>
      <name val="Arial"/>
      <family val="0"/>
    </font>
    <font>
      <sz val="10"/>
      <color indexed="10"/>
      <name val="Arial"/>
      <family val="0"/>
    </font>
    <font>
      <b/>
      <sz val="10"/>
      <color indexed="10"/>
      <name val="Arial"/>
      <family val="2"/>
    </font>
    <font>
      <sz val="8"/>
      <name val="Tahoma"/>
      <family val="0"/>
    </font>
    <font>
      <b/>
      <sz val="8"/>
      <name val="Tahoma"/>
      <family val="0"/>
    </font>
    <font>
      <sz val="18"/>
      <name val="Arial"/>
      <family val="2"/>
    </font>
    <font>
      <sz val="9.5"/>
      <name val="Arial"/>
      <family val="0"/>
    </font>
    <font>
      <sz val="15.25"/>
      <name val="Arial"/>
      <family val="2"/>
    </font>
    <font>
      <sz val="16"/>
      <name val="Arial"/>
      <family val="2"/>
    </font>
    <font>
      <u val="single"/>
      <sz val="10"/>
      <color indexed="12"/>
      <name val="Arial"/>
      <family val="0"/>
    </font>
    <font>
      <sz val="14"/>
      <name val="Arial"/>
      <family val="2"/>
    </font>
    <font>
      <b/>
      <sz val="16"/>
      <name val="Arial"/>
      <family val="2"/>
    </font>
    <font>
      <b/>
      <sz val="20"/>
      <name val="Arial"/>
      <family val="2"/>
    </font>
    <font>
      <u val="single"/>
      <sz val="10"/>
      <color indexed="36"/>
      <name val="Arial"/>
      <family val="0"/>
    </font>
    <font>
      <b/>
      <sz val="10"/>
      <color indexed="12"/>
      <name val="Arial"/>
      <family val="2"/>
    </font>
    <font>
      <sz val="9"/>
      <name val="Arial"/>
      <family val="0"/>
    </font>
    <font>
      <sz val="15.75"/>
      <name val="Arial"/>
      <family val="2"/>
    </font>
    <font>
      <b/>
      <sz val="8"/>
      <name val="Arial"/>
      <family val="2"/>
    </font>
  </fonts>
  <fills count="8">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s>
  <borders count="80">
    <border>
      <left/>
      <right/>
      <top/>
      <bottom/>
      <diagonal/>
    </border>
    <border>
      <left style="thin"/>
      <right style="thin"/>
      <top style="thin"/>
      <bottom style="thin"/>
    </border>
    <border>
      <left>
        <color indexed="63"/>
      </left>
      <right>
        <color indexed="63"/>
      </right>
      <top style="medium"/>
      <bottom style="thin"/>
    </border>
    <border>
      <left>
        <color indexed="63"/>
      </left>
      <right>
        <color indexed="63"/>
      </right>
      <top>
        <color indexed="63"/>
      </top>
      <bottom style="mediu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double">
        <color indexed="8"/>
      </left>
      <right>
        <color indexed="63"/>
      </right>
      <top style="thin">
        <color indexed="8"/>
      </top>
      <bottom>
        <color indexed="63"/>
      </bottom>
    </border>
    <border>
      <left style="medium">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double">
        <color indexed="8"/>
      </right>
      <top style="thin">
        <color indexed="8"/>
      </top>
      <bottom>
        <color indexed="63"/>
      </bottom>
    </border>
    <border>
      <left style="medium">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double">
        <color indexed="8"/>
      </right>
      <top style="thin">
        <color indexed="8"/>
      </top>
      <bottom style="medium">
        <color indexed="8"/>
      </bottom>
    </border>
    <border>
      <left style="double">
        <color indexed="8"/>
      </left>
      <right>
        <color indexed="63"/>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double">
        <color indexed="8"/>
      </right>
      <top>
        <color indexed="63"/>
      </top>
      <bottom>
        <color indexed="63"/>
      </bottom>
    </border>
    <border>
      <left style="double">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double">
        <color indexed="8"/>
      </right>
      <top style="thin">
        <color indexed="8"/>
      </top>
      <bottom style="thin">
        <color indexed="8"/>
      </bottom>
    </border>
    <border>
      <left style="double">
        <color indexed="8"/>
      </left>
      <right>
        <color indexed="63"/>
      </right>
      <top style="thin">
        <color indexed="8"/>
      </top>
      <bottom style="double">
        <color indexed="8"/>
      </bottom>
    </border>
    <border>
      <left style="medium">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medium">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style="double">
        <color indexed="8"/>
      </right>
      <top style="thin">
        <color indexed="8"/>
      </top>
      <bottom style="double">
        <color indexed="8"/>
      </bottom>
    </border>
    <border>
      <left style="medium"/>
      <right style="dotted"/>
      <top style="thin"/>
      <bottom style="thin"/>
    </border>
    <border>
      <left style="dotted"/>
      <right style="dotted"/>
      <top style="thin"/>
      <bottom style="thin"/>
    </border>
    <border>
      <left style="dotted"/>
      <right style="double"/>
      <top style="thin"/>
      <bottom style="thin"/>
    </border>
    <border>
      <left style="medium"/>
      <right style="dotted"/>
      <top style="thin"/>
      <bottom>
        <color indexed="63"/>
      </bottom>
    </border>
    <border>
      <left style="dotted"/>
      <right style="dotted"/>
      <top style="thin"/>
      <bottom>
        <color indexed="63"/>
      </bottom>
    </border>
    <border>
      <left style="dotted"/>
      <right style="double"/>
      <top style="thin"/>
      <bottom>
        <color indexed="63"/>
      </bottom>
    </border>
    <border>
      <left style="medium"/>
      <right style="dotted"/>
      <top style="medium"/>
      <bottom style="thin"/>
    </border>
    <border>
      <left style="dotted"/>
      <right style="dotted"/>
      <top style="medium"/>
      <bottom style="thin"/>
    </border>
    <border>
      <left style="dotted"/>
      <right style="double"/>
      <top style="medium"/>
      <bottom style="thin"/>
    </border>
    <border>
      <left style="medium"/>
      <right style="dotted"/>
      <top>
        <color indexed="63"/>
      </top>
      <bottom style="thin"/>
    </border>
    <border>
      <left style="dotted"/>
      <right style="dotted"/>
      <top>
        <color indexed="63"/>
      </top>
      <bottom style="thin"/>
    </border>
    <border>
      <left style="dotted"/>
      <right style="double"/>
      <top>
        <color indexed="63"/>
      </top>
      <bottom style="thin"/>
    </border>
    <border>
      <left style="double"/>
      <right>
        <color indexed="63"/>
      </right>
      <top style="double"/>
      <bottom style="medium"/>
    </border>
    <border>
      <left style="medium"/>
      <right style="dotted"/>
      <top style="double"/>
      <bottom style="medium"/>
    </border>
    <border>
      <left style="dotted"/>
      <right style="dotted"/>
      <top style="double"/>
      <bottom style="medium"/>
    </border>
    <border>
      <left style="dotted"/>
      <right style="double"/>
      <top style="double"/>
      <bottom style="medium"/>
    </border>
    <border>
      <left style="double"/>
      <right style="double"/>
      <top style="double"/>
      <bottom style="medium"/>
    </border>
    <border>
      <left style="double"/>
      <right>
        <color indexed="63"/>
      </right>
      <top style="thin"/>
      <bottom style="thin"/>
    </border>
    <border>
      <left style="double"/>
      <right style="double"/>
      <top style="thin"/>
      <bottom style="thin"/>
    </border>
    <border>
      <left style="double"/>
      <right>
        <color indexed="63"/>
      </right>
      <top style="thin"/>
      <bottom>
        <color indexed="63"/>
      </bottom>
    </border>
    <border>
      <left style="double"/>
      <right>
        <color indexed="63"/>
      </right>
      <top style="medium"/>
      <bottom style="thin"/>
    </border>
    <border>
      <left style="double"/>
      <right style="double"/>
      <top style="medium"/>
      <bottom style="thin"/>
    </border>
    <border>
      <left style="double"/>
      <right>
        <color indexed="63"/>
      </right>
      <top>
        <color indexed="63"/>
      </top>
      <bottom style="thin"/>
    </border>
    <border>
      <left style="double"/>
      <right style="double"/>
      <top>
        <color indexed="63"/>
      </top>
      <bottom style="thin"/>
    </border>
    <border>
      <left style="double"/>
      <right>
        <color indexed="63"/>
      </right>
      <top style="thin"/>
      <bottom style="double"/>
    </border>
    <border>
      <left style="medium"/>
      <right style="dotted"/>
      <top style="thin"/>
      <bottom style="double"/>
    </border>
    <border>
      <left style="dotted"/>
      <right style="dotted"/>
      <top style="thin"/>
      <bottom style="double"/>
    </border>
    <border>
      <left style="dotted"/>
      <right style="double"/>
      <top style="thin"/>
      <bottom style="double"/>
    </border>
    <border>
      <left style="double"/>
      <right>
        <color indexed="63"/>
      </right>
      <top style="thin"/>
      <bottom style="medium"/>
    </border>
    <border>
      <left style="medium"/>
      <right style="dotted"/>
      <top style="thin"/>
      <bottom style="medium"/>
    </border>
    <border>
      <left style="dotted"/>
      <right style="dotted"/>
      <top style="thin"/>
      <bottom style="medium"/>
    </border>
    <border>
      <left style="dotted"/>
      <right style="double"/>
      <top style="thin"/>
      <bottom style="medium"/>
    </border>
    <border>
      <left style="double"/>
      <right style="double"/>
      <top style="thin"/>
      <bottom>
        <color indexed="63"/>
      </bottom>
    </border>
    <border>
      <left style="double"/>
      <right style="double"/>
      <top style="thin"/>
      <bottom style="medium"/>
    </border>
    <border>
      <left style="double"/>
      <right style="double"/>
      <top style="thin"/>
      <bottom style="double"/>
    </border>
    <border>
      <left>
        <color indexed="63"/>
      </left>
      <right>
        <color indexed="63"/>
      </right>
      <top style="thin"/>
      <bottom>
        <color indexed="63"/>
      </bottom>
    </border>
    <border>
      <left style="double">
        <color indexed="8"/>
      </left>
      <right>
        <color indexed="63"/>
      </right>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medium">
        <color indexed="8"/>
      </left>
      <right style="thin">
        <color indexed="8"/>
      </right>
      <top style="double">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color indexed="63"/>
      </top>
      <bottom style="medium">
        <color indexed="8"/>
      </bottom>
    </border>
    <border>
      <left style="thin">
        <color indexed="8"/>
      </left>
      <right>
        <color indexed="63"/>
      </right>
      <top style="double">
        <color indexed="8"/>
      </top>
      <bottom>
        <color indexed="63"/>
      </bottom>
    </border>
    <border>
      <left style="thin">
        <color indexed="8"/>
      </left>
      <right>
        <color indexed="63"/>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0" fillId="0" borderId="0" xfId="0" applyAlignment="1">
      <alignment horizontal="right"/>
    </xf>
    <xf numFmtId="3" fontId="0" fillId="0" borderId="0" xfId="0" applyNumberFormat="1" applyAlignment="1">
      <alignment/>
    </xf>
    <xf numFmtId="0" fontId="0" fillId="0" borderId="0" xfId="0" applyAlignment="1" quotePrefix="1">
      <alignment/>
    </xf>
    <xf numFmtId="0" fontId="0" fillId="2" borderId="0" xfId="0" applyFill="1" applyAlignment="1">
      <alignment/>
    </xf>
    <xf numFmtId="3" fontId="0" fillId="2" borderId="0" xfId="0" applyNumberFormat="1" applyFill="1" applyAlignment="1">
      <alignment/>
    </xf>
    <xf numFmtId="165" fontId="0" fillId="2" borderId="0" xfId="0" applyNumberFormat="1" applyFill="1" applyAlignment="1">
      <alignment/>
    </xf>
    <xf numFmtId="165" fontId="0" fillId="0" borderId="0" xfId="0" applyNumberFormat="1" applyAlignment="1">
      <alignment/>
    </xf>
    <xf numFmtId="167" fontId="0" fillId="2" borderId="0" xfId="0" applyNumberFormat="1" applyFill="1" applyAlignment="1">
      <alignment/>
    </xf>
    <xf numFmtId="9" fontId="0" fillId="0" borderId="0" xfId="0" applyNumberFormat="1" applyAlignment="1">
      <alignment horizontal="right"/>
    </xf>
    <xf numFmtId="9" fontId="0" fillId="0" borderId="0" xfId="0" applyNumberFormat="1" applyAlignment="1">
      <alignment/>
    </xf>
    <xf numFmtId="166" fontId="0" fillId="0" borderId="0" xfId="0" applyNumberFormat="1" applyAlignment="1">
      <alignment/>
    </xf>
    <xf numFmtId="0" fontId="0" fillId="0" borderId="0" xfId="0" applyFill="1" applyAlignment="1">
      <alignment/>
    </xf>
    <xf numFmtId="166" fontId="0" fillId="0" borderId="0" xfId="0" applyNumberFormat="1" applyFill="1" applyAlignment="1">
      <alignment/>
    </xf>
    <xf numFmtId="0" fontId="0" fillId="0" borderId="0" xfId="0" applyBorder="1" applyAlignment="1">
      <alignment/>
    </xf>
    <xf numFmtId="166" fontId="0" fillId="0" borderId="0" xfId="0" applyNumberFormat="1" applyBorder="1" applyAlignment="1">
      <alignment/>
    </xf>
    <xf numFmtId="166" fontId="0" fillId="2" borderId="0" xfId="0" applyNumberFormat="1" applyFill="1" applyAlignment="1">
      <alignment/>
    </xf>
    <xf numFmtId="168" fontId="0" fillId="0" borderId="0" xfId="0" applyNumberFormat="1" applyAlignment="1">
      <alignment/>
    </xf>
    <xf numFmtId="171" fontId="0" fillId="2" borderId="0" xfId="0" applyNumberFormat="1" applyFill="1" applyAlignment="1">
      <alignment/>
    </xf>
    <xf numFmtId="0" fontId="2" fillId="0" borderId="0" xfId="0" applyFont="1" applyAlignment="1">
      <alignment horizontal="centerContinuous"/>
    </xf>
    <xf numFmtId="0" fontId="0" fillId="0" borderId="0" xfId="0" applyAlignment="1">
      <alignment horizontal="centerContinuous"/>
    </xf>
    <xf numFmtId="168" fontId="0" fillId="2" borderId="0" xfId="0" applyNumberFormat="1" applyFill="1" applyAlignment="1">
      <alignment/>
    </xf>
    <xf numFmtId="173" fontId="0" fillId="0" borderId="0" xfId="0" applyNumberFormat="1" applyAlignment="1">
      <alignment/>
    </xf>
    <xf numFmtId="173" fontId="0" fillId="0" borderId="0" xfId="0" applyNumberFormat="1" applyAlignment="1">
      <alignment horizontal="right"/>
    </xf>
    <xf numFmtId="168" fontId="0" fillId="0" borderId="0" xfId="0" applyNumberFormat="1" applyFill="1" applyAlignment="1">
      <alignment/>
    </xf>
    <xf numFmtId="0" fontId="0" fillId="2" borderId="0" xfId="0" applyFill="1" applyAlignment="1">
      <alignment horizontal="right"/>
    </xf>
    <xf numFmtId="165" fontId="0" fillId="0" borderId="0" xfId="0" applyNumberFormat="1" applyFill="1" applyAlignment="1">
      <alignment/>
    </xf>
    <xf numFmtId="174" fontId="0" fillId="2" borderId="0" xfId="0" applyNumberFormat="1" applyFill="1" applyAlignment="1">
      <alignment/>
    </xf>
    <xf numFmtId="173" fontId="2" fillId="0" borderId="0" xfId="0" applyNumberFormat="1" applyFont="1" applyAlignment="1">
      <alignment horizontal="centerContinuous"/>
    </xf>
    <xf numFmtId="10" fontId="0" fillId="2" borderId="0" xfId="0" applyNumberFormat="1" applyFill="1" applyAlignment="1">
      <alignment horizontal="left"/>
    </xf>
    <xf numFmtId="165" fontId="0" fillId="2" borderId="0" xfId="0" applyNumberFormat="1" applyFill="1" applyAlignment="1">
      <alignment horizontal="left"/>
    </xf>
    <xf numFmtId="0" fontId="0" fillId="0" borderId="0" xfId="0" applyFill="1" applyAlignment="1">
      <alignment horizontal="right"/>
    </xf>
    <xf numFmtId="10" fontId="0" fillId="0" borderId="0" xfId="0" applyNumberFormat="1" applyFill="1" applyAlignment="1">
      <alignment horizontal="left"/>
    </xf>
    <xf numFmtId="165" fontId="0" fillId="0" borderId="0" xfId="0" applyNumberFormat="1" applyFill="1" applyAlignment="1">
      <alignment horizontal="left"/>
    </xf>
    <xf numFmtId="174" fontId="0" fillId="0" borderId="0" xfId="0" applyNumberFormat="1" applyAlignment="1">
      <alignment/>
    </xf>
    <xf numFmtId="0" fontId="2" fillId="0" borderId="0" xfId="0" applyFont="1" applyAlignment="1">
      <alignment/>
    </xf>
    <xf numFmtId="166" fontId="0" fillId="0" borderId="0" xfId="0" applyNumberFormat="1" applyFill="1" applyBorder="1" applyAlignment="1" applyProtection="1">
      <alignment/>
      <protection/>
    </xf>
    <xf numFmtId="169" fontId="0" fillId="0" borderId="0" xfId="0" applyNumberFormat="1" applyAlignment="1">
      <alignment/>
    </xf>
    <xf numFmtId="165" fontId="0" fillId="0" borderId="0" xfId="0" applyNumberFormat="1" applyFill="1" applyBorder="1" applyAlignment="1" applyProtection="1">
      <alignment/>
      <protection/>
    </xf>
    <xf numFmtId="0" fontId="0" fillId="0" borderId="0" xfId="0" applyAlignment="1">
      <alignment horizontal="left"/>
    </xf>
    <xf numFmtId="165" fontId="0" fillId="0" borderId="0" xfId="0" applyNumberFormat="1" applyFill="1" applyBorder="1" applyAlignment="1" applyProtection="1">
      <alignment horizontal="right"/>
      <protection/>
    </xf>
    <xf numFmtId="175" fontId="0" fillId="0" borderId="0" xfId="0" applyNumberFormat="1" applyFill="1" applyBorder="1" applyAlignment="1" applyProtection="1">
      <alignment/>
      <protection/>
    </xf>
    <xf numFmtId="2" fontId="0" fillId="0" borderId="0" xfId="0" applyNumberFormat="1" applyFill="1" applyBorder="1" applyAlignment="1" applyProtection="1">
      <alignment/>
      <protection/>
    </xf>
    <xf numFmtId="176" fontId="0" fillId="0" borderId="0" xfId="0" applyNumberFormat="1" applyAlignment="1">
      <alignment/>
    </xf>
    <xf numFmtId="0" fontId="0" fillId="0" borderId="0" xfId="0" applyFill="1" applyBorder="1" applyAlignment="1" applyProtection="1">
      <alignment/>
      <protection/>
    </xf>
    <xf numFmtId="0" fontId="0" fillId="0" borderId="0" xfId="0" applyFill="1" applyBorder="1" applyAlignment="1" applyProtection="1">
      <alignment horizontal="right"/>
      <protection/>
    </xf>
    <xf numFmtId="0" fontId="2" fillId="0" borderId="0" xfId="0" applyFont="1" applyFill="1" applyAlignment="1">
      <alignment/>
    </xf>
    <xf numFmtId="177" fontId="0" fillId="0" borderId="0" xfId="0" applyNumberFormat="1" applyAlignment="1">
      <alignment horizontal="left"/>
    </xf>
    <xf numFmtId="166" fontId="0" fillId="0" borderId="0" xfId="0" applyNumberFormat="1" applyAlignment="1">
      <alignment horizontal="left"/>
    </xf>
    <xf numFmtId="178" fontId="0" fillId="0" borderId="0" xfId="0" applyNumberFormat="1" applyAlignment="1">
      <alignment horizontal="left"/>
    </xf>
    <xf numFmtId="0" fontId="0" fillId="0" borderId="0" xfId="0" applyFill="1" applyBorder="1" applyAlignment="1" applyProtection="1">
      <alignment horizontal="right"/>
      <protection locked="0"/>
    </xf>
    <xf numFmtId="0" fontId="0" fillId="0" borderId="0" xfId="0" applyAlignment="1">
      <alignment horizontal="center"/>
    </xf>
    <xf numFmtId="0" fontId="0" fillId="3" borderId="1" xfId="0" applyFill="1" applyBorder="1" applyAlignment="1" applyProtection="1">
      <alignment horizontal="center"/>
      <protection locked="0"/>
    </xf>
    <xf numFmtId="0" fontId="3" fillId="0" borderId="0" xfId="0" applyFont="1" applyAlignment="1">
      <alignment horizontal="center"/>
    </xf>
    <xf numFmtId="0" fontId="4" fillId="0" borderId="0" xfId="0" applyFont="1" applyAlignment="1">
      <alignment horizontal="center"/>
    </xf>
    <xf numFmtId="0" fontId="0" fillId="0" borderId="0" xfId="0" applyFont="1" applyAlignment="1">
      <alignment/>
    </xf>
    <xf numFmtId="165" fontId="0" fillId="0" borderId="0" xfId="0" applyNumberFormat="1" applyFill="1" applyBorder="1" applyAlignment="1" applyProtection="1">
      <alignment horizontal="right"/>
      <protection locked="0"/>
    </xf>
    <xf numFmtId="165" fontId="2" fillId="2" borderId="0" xfId="0" applyNumberFormat="1" applyFont="1" applyFill="1" applyAlignment="1">
      <alignment/>
    </xf>
    <xf numFmtId="3" fontId="2" fillId="2" borderId="0" xfId="0" applyNumberFormat="1" applyFont="1" applyFill="1" applyAlignment="1">
      <alignment/>
    </xf>
    <xf numFmtId="165" fontId="0" fillId="3" borderId="1" xfId="0" applyNumberFormat="1" applyFill="1" applyBorder="1" applyAlignment="1" applyProtection="1">
      <alignment horizontal="center"/>
      <protection locked="0"/>
    </xf>
    <xf numFmtId="174" fontId="0" fillId="3" borderId="1" xfId="0" applyNumberFormat="1" applyFill="1" applyBorder="1" applyAlignment="1" applyProtection="1">
      <alignment horizontal="center"/>
      <protection locked="0"/>
    </xf>
    <xf numFmtId="178" fontId="0" fillId="3" borderId="1" xfId="0" applyNumberFormat="1" applyFill="1" applyBorder="1" applyAlignment="1" applyProtection="1">
      <alignment horizontal="center"/>
      <protection locked="0"/>
    </xf>
    <xf numFmtId="9" fontId="0" fillId="0" borderId="0" xfId="0" applyNumberFormat="1" applyFill="1" applyBorder="1" applyAlignment="1" applyProtection="1">
      <alignment/>
      <protection/>
    </xf>
    <xf numFmtId="174" fontId="0" fillId="0" borderId="0" xfId="0" applyNumberFormat="1" applyFill="1" applyBorder="1" applyAlignment="1" applyProtection="1">
      <alignment/>
      <protection/>
    </xf>
    <xf numFmtId="167" fontId="0" fillId="0" borderId="0" xfId="0" applyNumberFormat="1" applyAlignment="1">
      <alignment/>
    </xf>
    <xf numFmtId="0" fontId="0" fillId="3" borderId="0" xfId="0" applyFill="1" applyAlignment="1">
      <alignment horizontal="right"/>
    </xf>
    <xf numFmtId="0" fontId="0" fillId="3" borderId="0" xfId="0" applyFill="1" applyAlignment="1">
      <alignment/>
    </xf>
    <xf numFmtId="174" fontId="0" fillId="3" borderId="0" xfId="0" applyNumberFormat="1" applyFill="1" applyAlignment="1">
      <alignment/>
    </xf>
    <xf numFmtId="167" fontId="0" fillId="3" borderId="0" xfId="0" applyNumberFormat="1" applyFill="1" applyAlignment="1">
      <alignment/>
    </xf>
    <xf numFmtId="176" fontId="0" fillId="3" borderId="0" xfId="0" applyNumberFormat="1" applyFill="1" applyAlignment="1">
      <alignment/>
    </xf>
    <xf numFmtId="0" fontId="5" fillId="0" borderId="2" xfId="0" applyFont="1" applyFill="1" applyBorder="1" applyAlignment="1">
      <alignment horizontal="centerContinuous"/>
    </xf>
    <xf numFmtId="0" fontId="0" fillId="0" borderId="0" xfId="0" applyFill="1" applyBorder="1" applyAlignment="1">
      <alignment/>
    </xf>
    <xf numFmtId="0" fontId="0" fillId="0" borderId="3" xfId="0" applyFill="1" applyBorder="1" applyAlignment="1">
      <alignment/>
    </xf>
    <xf numFmtId="0" fontId="5" fillId="0" borderId="2" xfId="0" applyFont="1" applyFill="1" applyBorder="1" applyAlignment="1">
      <alignment horizontal="center"/>
    </xf>
    <xf numFmtId="0" fontId="6" fillId="0" borderId="0" xfId="0" applyFont="1" applyFill="1" applyAlignment="1">
      <alignment horizontal="right"/>
    </xf>
    <xf numFmtId="0" fontId="6" fillId="0" borderId="0" xfId="0" applyFont="1" applyAlignment="1">
      <alignment horizontal="right"/>
    </xf>
    <xf numFmtId="167" fontId="0" fillId="0" borderId="0" xfId="0" applyNumberFormat="1" applyFill="1" applyBorder="1" applyAlignment="1" applyProtection="1">
      <alignment/>
      <protection/>
    </xf>
    <xf numFmtId="0" fontId="7" fillId="3" borderId="0" xfId="0" applyFont="1" applyFill="1" applyAlignment="1">
      <alignment/>
    </xf>
    <xf numFmtId="0" fontId="2" fillId="3" borderId="0" xfId="0" applyFont="1" applyFill="1" applyAlignment="1">
      <alignment/>
    </xf>
    <xf numFmtId="2" fontId="0" fillId="0" borderId="0" xfId="0" applyNumberFormat="1" applyAlignment="1">
      <alignment/>
    </xf>
    <xf numFmtId="0" fontId="0" fillId="0" borderId="4" xfId="0" applyBorder="1" applyAlignment="1">
      <alignment horizontal="center" vertical="top" wrapText="1"/>
    </xf>
    <xf numFmtId="0" fontId="0" fillId="4" borderId="4" xfId="0" applyFill="1" applyBorder="1" applyAlignment="1">
      <alignment horizontal="center" vertical="top" wrapText="1"/>
    </xf>
    <xf numFmtId="0" fontId="0" fillId="0" borderId="5" xfId="0" applyBorder="1" applyAlignment="1">
      <alignment horizontal="center" vertical="top" wrapText="1"/>
    </xf>
    <xf numFmtId="0" fontId="0" fillId="4" borderId="5" xfId="0" applyFill="1" applyBorder="1" applyAlignment="1">
      <alignment horizontal="center" vertical="top" wrapText="1"/>
    </xf>
    <xf numFmtId="0" fontId="0" fillId="0" borderId="6" xfId="0" applyBorder="1" applyAlignment="1">
      <alignment vertical="top" wrapText="1"/>
    </xf>
    <xf numFmtId="0" fontId="0" fillId="4" borderId="6" xfId="0" applyFill="1" applyBorder="1" applyAlignment="1">
      <alignment vertical="top" wrapText="1"/>
    </xf>
    <xf numFmtId="167" fontId="0" fillId="0" borderId="7" xfId="0" applyNumberFormat="1" applyBorder="1" applyAlignment="1">
      <alignment horizontal="center" vertical="top" wrapText="1"/>
    </xf>
    <xf numFmtId="167" fontId="0" fillId="0" borderId="8" xfId="0" applyNumberFormat="1" applyBorder="1" applyAlignment="1">
      <alignment horizontal="center" vertical="top" wrapText="1"/>
    </xf>
    <xf numFmtId="167" fontId="0" fillId="0" borderId="9" xfId="0" applyNumberFormat="1" applyBorder="1" applyAlignment="1">
      <alignment horizontal="center" vertical="top" wrapText="1"/>
    </xf>
    <xf numFmtId="167" fontId="0" fillId="4" borderId="7" xfId="0" applyNumberFormat="1" applyFill="1" applyBorder="1" applyAlignment="1">
      <alignment horizontal="center" vertical="top" wrapText="1"/>
    </xf>
    <xf numFmtId="167" fontId="0" fillId="4" borderId="8" xfId="0" applyNumberFormat="1" applyFill="1" applyBorder="1" applyAlignment="1">
      <alignment horizontal="center" vertical="top" wrapText="1"/>
    </xf>
    <xf numFmtId="167" fontId="0" fillId="4" borderId="9" xfId="0" applyNumberFormat="1" applyFill="1" applyBorder="1" applyAlignment="1">
      <alignment horizontal="center" vertical="top"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2" fontId="0" fillId="3" borderId="0" xfId="0" applyNumberFormat="1" applyFill="1" applyAlignment="1">
      <alignment/>
    </xf>
    <xf numFmtId="2" fontId="0" fillId="0" borderId="0" xfId="0" applyNumberFormat="1" applyFill="1" applyAlignment="1">
      <alignment/>
    </xf>
    <xf numFmtId="0" fontId="0" fillId="0" borderId="0" xfId="0" applyFill="1" applyBorder="1" applyAlignment="1">
      <alignment horizontal="right"/>
    </xf>
    <xf numFmtId="2" fontId="0" fillId="0" borderId="0" xfId="0" applyNumberFormat="1" applyFill="1" applyBorder="1" applyAlignment="1">
      <alignment horizontal="center"/>
    </xf>
    <xf numFmtId="0" fontId="0" fillId="3" borderId="13" xfId="0" applyFill="1" applyBorder="1" applyAlignment="1">
      <alignment vertical="top" wrapText="1"/>
    </xf>
    <xf numFmtId="0" fontId="0" fillId="3" borderId="14" xfId="0" applyFill="1" applyBorder="1" applyAlignment="1">
      <alignment horizontal="center" vertical="top" wrapText="1"/>
    </xf>
    <xf numFmtId="0" fontId="0" fillId="3" borderId="15" xfId="0" applyFill="1" applyBorder="1" applyAlignment="1">
      <alignment horizontal="center" vertical="top" wrapText="1"/>
    </xf>
    <xf numFmtId="167" fontId="0" fillId="3" borderId="16" xfId="0" applyNumberFormat="1" applyFill="1" applyBorder="1" applyAlignment="1">
      <alignment horizontal="center" vertical="top" wrapText="1"/>
    </xf>
    <xf numFmtId="167" fontId="0" fillId="3" borderId="17" xfId="0" applyNumberFormat="1" applyFill="1" applyBorder="1" applyAlignment="1">
      <alignment horizontal="center" vertical="top" wrapText="1"/>
    </xf>
    <xf numFmtId="167" fontId="0" fillId="3" borderId="18" xfId="0" applyNumberFormat="1" applyFill="1" applyBorder="1" applyAlignment="1">
      <alignment horizontal="center" vertical="top" wrapText="1"/>
    </xf>
    <xf numFmtId="0" fontId="0" fillId="3" borderId="6" xfId="0" applyFill="1" applyBorder="1" applyAlignment="1">
      <alignment vertical="top" wrapText="1"/>
    </xf>
    <xf numFmtId="0" fontId="0" fillId="3" borderId="5" xfId="0" applyFill="1" applyBorder="1" applyAlignment="1">
      <alignment horizontal="center" vertical="top" wrapText="1"/>
    </xf>
    <xf numFmtId="0" fontId="0" fillId="3" borderId="4" xfId="0" applyFill="1" applyBorder="1" applyAlignment="1">
      <alignment horizontal="center" vertical="top" wrapText="1"/>
    </xf>
    <xf numFmtId="167" fontId="0" fillId="3" borderId="7" xfId="0" applyNumberFormat="1" applyFill="1" applyBorder="1" applyAlignment="1">
      <alignment horizontal="center" vertical="top" wrapText="1"/>
    </xf>
    <xf numFmtId="167" fontId="0" fillId="3" borderId="8" xfId="0" applyNumberFormat="1" applyFill="1" applyBorder="1" applyAlignment="1">
      <alignment horizontal="center" vertical="top" wrapText="1"/>
    </xf>
    <xf numFmtId="167" fontId="0" fillId="3" borderId="9" xfId="0" applyNumberFormat="1" applyFill="1" applyBorder="1" applyAlignment="1">
      <alignment horizontal="center" vertical="top" wrapText="1"/>
    </xf>
    <xf numFmtId="0" fontId="0" fillId="3" borderId="19" xfId="0" applyFill="1" applyBorder="1" applyAlignment="1">
      <alignment vertical="top" wrapText="1"/>
    </xf>
    <xf numFmtId="0" fontId="0" fillId="3" borderId="20" xfId="0" applyFill="1" applyBorder="1" applyAlignment="1">
      <alignment horizontal="center" vertical="top" wrapText="1"/>
    </xf>
    <xf numFmtId="0" fontId="0" fillId="3" borderId="21" xfId="0" applyFill="1" applyBorder="1" applyAlignment="1">
      <alignment horizontal="center" vertical="top" wrapText="1"/>
    </xf>
    <xf numFmtId="167" fontId="0" fillId="3" borderId="22" xfId="0" applyNumberFormat="1" applyFill="1" applyBorder="1" applyAlignment="1">
      <alignment horizontal="center" vertical="top" wrapText="1"/>
    </xf>
    <xf numFmtId="167" fontId="0" fillId="3" borderId="23" xfId="0" applyNumberFormat="1" applyFill="1" applyBorder="1" applyAlignment="1">
      <alignment horizontal="center" vertical="top" wrapText="1"/>
    </xf>
    <xf numFmtId="167" fontId="0" fillId="3" borderId="24" xfId="0" applyNumberFormat="1" applyFill="1" applyBorder="1" applyAlignment="1">
      <alignment horizontal="center" vertical="top" wrapText="1"/>
    </xf>
    <xf numFmtId="0" fontId="0" fillId="3" borderId="25" xfId="0" applyFill="1" applyBorder="1" applyAlignment="1">
      <alignment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167" fontId="0" fillId="3" borderId="28" xfId="0" applyNumberFormat="1" applyFill="1" applyBorder="1" applyAlignment="1">
      <alignment horizontal="center" vertical="top" wrapText="1"/>
    </xf>
    <xf numFmtId="167" fontId="0" fillId="3" borderId="29" xfId="0" applyNumberFormat="1" applyFill="1" applyBorder="1" applyAlignment="1">
      <alignment horizontal="center" vertical="top" wrapText="1"/>
    </xf>
    <xf numFmtId="167" fontId="0" fillId="3" borderId="30" xfId="0" applyNumberFormat="1" applyFill="1" applyBorder="1" applyAlignment="1">
      <alignment horizontal="center" vertical="top" wrapText="1"/>
    </xf>
    <xf numFmtId="1" fontId="0" fillId="0" borderId="0" xfId="0" applyNumberFormat="1" applyAlignment="1">
      <alignment/>
    </xf>
    <xf numFmtId="2" fontId="0" fillId="3" borderId="31" xfId="0" applyNumberFormat="1" applyFill="1" applyBorder="1" applyAlignment="1">
      <alignment horizontal="center"/>
    </xf>
    <xf numFmtId="2" fontId="0" fillId="3" borderId="32" xfId="0" applyNumberFormat="1" applyFill="1" applyBorder="1" applyAlignment="1">
      <alignment horizontal="center"/>
    </xf>
    <xf numFmtId="2" fontId="0" fillId="3" borderId="33" xfId="0" applyNumberFormat="1" applyFill="1" applyBorder="1" applyAlignment="1">
      <alignment horizontal="center"/>
    </xf>
    <xf numFmtId="2" fontId="0" fillId="3" borderId="34" xfId="0" applyNumberFormat="1" applyFill="1" applyBorder="1" applyAlignment="1">
      <alignment horizontal="center"/>
    </xf>
    <xf numFmtId="2" fontId="0" fillId="3" borderId="35" xfId="0" applyNumberFormat="1" applyFill="1" applyBorder="1" applyAlignment="1">
      <alignment horizontal="center"/>
    </xf>
    <xf numFmtId="2" fontId="0" fillId="3" borderId="36" xfId="0" applyNumberFormat="1" applyFill="1" applyBorder="1" applyAlignment="1">
      <alignment horizontal="center"/>
    </xf>
    <xf numFmtId="2" fontId="0" fillId="5" borderId="37" xfId="0" applyNumberFormat="1" applyFill="1" applyBorder="1" applyAlignment="1">
      <alignment horizontal="center"/>
    </xf>
    <xf numFmtId="2" fontId="0" fillId="5" borderId="38" xfId="0" applyNumberFormat="1" applyFill="1" applyBorder="1" applyAlignment="1">
      <alignment horizontal="center"/>
    </xf>
    <xf numFmtId="2" fontId="0" fillId="5" borderId="39" xfId="0" applyNumberFormat="1" applyFill="1" applyBorder="1" applyAlignment="1">
      <alignment horizontal="center"/>
    </xf>
    <xf numFmtId="2" fontId="0" fillId="5" borderId="31" xfId="0" applyNumberFormat="1" applyFill="1" applyBorder="1" applyAlignment="1">
      <alignment horizontal="center"/>
    </xf>
    <xf numFmtId="2" fontId="0" fillId="5" borderId="32" xfId="0" applyNumberFormat="1" applyFill="1" applyBorder="1" applyAlignment="1">
      <alignment horizontal="center"/>
    </xf>
    <xf numFmtId="2" fontId="0" fillId="5" borderId="33" xfId="0" applyNumberFormat="1" applyFill="1" applyBorder="1" applyAlignment="1">
      <alignment horizontal="center"/>
    </xf>
    <xf numFmtId="2" fontId="0" fillId="2" borderId="40" xfId="0" applyNumberFormat="1" applyFill="1" applyBorder="1" applyAlignment="1">
      <alignment horizontal="center"/>
    </xf>
    <xf numFmtId="2" fontId="0" fillId="2" borderId="41" xfId="0" applyNumberFormat="1" applyFill="1" applyBorder="1" applyAlignment="1">
      <alignment horizontal="center"/>
    </xf>
    <xf numFmtId="2" fontId="0" fillId="2" borderId="42" xfId="0" applyNumberFormat="1" applyFill="1" applyBorder="1" applyAlignment="1">
      <alignment horizontal="center"/>
    </xf>
    <xf numFmtId="2" fontId="0" fillId="2" borderId="31" xfId="0" applyNumberFormat="1" applyFill="1" applyBorder="1" applyAlignment="1">
      <alignment horizontal="center"/>
    </xf>
    <xf numFmtId="2" fontId="0" fillId="2" borderId="32" xfId="0" applyNumberFormat="1" applyFill="1" applyBorder="1" applyAlignment="1">
      <alignment horizontal="center"/>
    </xf>
    <xf numFmtId="2" fontId="0" fillId="2" borderId="33" xfId="0" applyNumberFormat="1" applyFill="1" applyBorder="1" applyAlignment="1">
      <alignment horizontal="center"/>
    </xf>
    <xf numFmtId="0" fontId="0" fillId="0" borderId="43" xfId="0" applyBorder="1" applyAlignment="1">
      <alignment/>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3" borderId="48" xfId="0" applyFill="1" applyBorder="1" applyAlignment="1">
      <alignment/>
    </xf>
    <xf numFmtId="2" fontId="0" fillId="3" borderId="49" xfId="0" applyNumberFormat="1" applyFill="1" applyBorder="1" applyAlignment="1">
      <alignment horizontal="center"/>
    </xf>
    <xf numFmtId="0" fontId="0" fillId="3" borderId="50" xfId="0" applyFill="1" applyBorder="1" applyAlignment="1">
      <alignment horizontal="right"/>
    </xf>
    <xf numFmtId="0" fontId="0" fillId="5" borderId="51" xfId="0" applyFill="1" applyBorder="1" applyAlignment="1">
      <alignment/>
    </xf>
    <xf numFmtId="2" fontId="0" fillId="5" borderId="52" xfId="0" applyNumberFormat="1" applyFill="1" applyBorder="1" applyAlignment="1">
      <alignment horizontal="center"/>
    </xf>
    <xf numFmtId="0" fontId="0" fillId="5" borderId="48" xfId="0" applyFill="1" applyBorder="1" applyAlignment="1">
      <alignment/>
    </xf>
    <xf numFmtId="2" fontId="0" fillId="5" borderId="49" xfId="0" applyNumberFormat="1" applyFill="1" applyBorder="1" applyAlignment="1">
      <alignment horizontal="center"/>
    </xf>
    <xf numFmtId="0" fontId="0" fillId="2" borderId="53" xfId="0" applyFill="1" applyBorder="1" applyAlignment="1">
      <alignment/>
    </xf>
    <xf numFmtId="2" fontId="0" fillId="2" borderId="54" xfId="0" applyNumberFormat="1" applyFill="1" applyBorder="1" applyAlignment="1">
      <alignment horizontal="center"/>
    </xf>
    <xf numFmtId="0" fontId="0" fillId="2" borderId="48" xfId="0" applyFill="1" applyBorder="1" applyAlignment="1">
      <alignment/>
    </xf>
    <xf numFmtId="2" fontId="0" fillId="2" borderId="49" xfId="0" applyNumberFormat="1" applyFill="1" applyBorder="1" applyAlignment="1">
      <alignment horizontal="center"/>
    </xf>
    <xf numFmtId="0" fontId="0" fillId="2" borderId="55" xfId="0" applyFill="1" applyBorder="1" applyAlignment="1">
      <alignment horizontal="right"/>
    </xf>
    <xf numFmtId="2" fontId="0" fillId="2" borderId="56" xfId="0" applyNumberFormat="1" applyFill="1" applyBorder="1" applyAlignment="1">
      <alignment horizontal="center"/>
    </xf>
    <xf numFmtId="2" fontId="0" fillId="2" borderId="57" xfId="0" applyNumberFormat="1" applyFill="1" applyBorder="1" applyAlignment="1">
      <alignment horizontal="center"/>
    </xf>
    <xf numFmtId="2" fontId="0" fillId="2" borderId="58" xfId="0" applyNumberFormat="1" applyFill="1" applyBorder="1" applyAlignment="1">
      <alignment horizontal="center"/>
    </xf>
    <xf numFmtId="0" fontId="0" fillId="5" borderId="59" xfId="0" applyFill="1" applyBorder="1" applyAlignment="1">
      <alignment horizontal="right"/>
    </xf>
    <xf numFmtId="2" fontId="0" fillId="5" borderId="60" xfId="0" applyNumberFormat="1" applyFill="1" applyBorder="1" applyAlignment="1">
      <alignment horizontal="center"/>
    </xf>
    <xf numFmtId="2" fontId="0" fillId="5" borderId="61" xfId="0" applyNumberFormat="1" applyFill="1" applyBorder="1" applyAlignment="1">
      <alignment horizontal="center"/>
    </xf>
    <xf numFmtId="2" fontId="0" fillId="5" borderId="62" xfId="0" applyNumberFormat="1" applyFill="1" applyBorder="1" applyAlignment="1">
      <alignment horizontal="center"/>
    </xf>
    <xf numFmtId="2" fontId="2" fillId="3" borderId="63" xfId="0" applyNumberFormat="1" applyFont="1" applyFill="1" applyBorder="1" applyAlignment="1">
      <alignment horizontal="center"/>
    </xf>
    <xf numFmtId="2" fontId="2" fillId="5" borderId="64" xfId="0" applyNumberFormat="1" applyFont="1" applyFill="1" applyBorder="1" applyAlignment="1">
      <alignment horizontal="center"/>
    </xf>
    <xf numFmtId="2" fontId="2" fillId="2" borderId="65" xfId="0" applyNumberFormat="1" applyFont="1" applyFill="1" applyBorder="1" applyAlignment="1">
      <alignment horizontal="center"/>
    </xf>
    <xf numFmtId="0" fontId="0" fillId="0" borderId="0" xfId="0" applyFont="1" applyAlignment="1">
      <alignment horizontal="left"/>
    </xf>
    <xf numFmtId="3" fontId="2" fillId="0" borderId="0" xfId="0" applyNumberFormat="1" applyFont="1" applyFill="1" applyAlignment="1">
      <alignment/>
    </xf>
    <xf numFmtId="0" fontId="2" fillId="2" borderId="0" xfId="0" applyFont="1" applyFill="1" applyAlignment="1">
      <alignment/>
    </xf>
    <xf numFmtId="0" fontId="2" fillId="5" borderId="0" xfId="0" applyFont="1" applyFill="1" applyAlignment="1">
      <alignment/>
    </xf>
    <xf numFmtId="0" fontId="0" fillId="5" borderId="0" xfId="0" applyFill="1" applyAlignment="1">
      <alignment horizontal="right"/>
    </xf>
    <xf numFmtId="4" fontId="2" fillId="5" borderId="0" xfId="0" applyNumberFormat="1" applyFont="1" applyFill="1" applyAlignment="1">
      <alignment/>
    </xf>
    <xf numFmtId="9" fontId="2" fillId="5" borderId="0" xfId="0" applyNumberFormat="1" applyFont="1" applyFill="1" applyAlignment="1">
      <alignment/>
    </xf>
    <xf numFmtId="165" fontId="2" fillId="5" borderId="0" xfId="0" applyNumberFormat="1" applyFont="1" applyFill="1" applyAlignment="1">
      <alignment/>
    </xf>
    <xf numFmtId="167" fontId="2" fillId="5" borderId="0" xfId="0" applyNumberFormat="1" applyFont="1" applyFill="1" applyAlignment="1">
      <alignment/>
    </xf>
    <xf numFmtId="0" fontId="2" fillId="0" borderId="0" xfId="0" applyFont="1" applyFill="1" applyBorder="1" applyAlignment="1">
      <alignment horizontal="center" wrapText="1"/>
    </xf>
    <xf numFmtId="3" fontId="0" fillId="3" borderId="0" xfId="0" applyNumberFormat="1" applyFill="1" applyAlignment="1">
      <alignment/>
    </xf>
    <xf numFmtId="0" fontId="6" fillId="3" borderId="0" xfId="0" applyFont="1" applyFill="1" applyAlignment="1">
      <alignment/>
    </xf>
    <xf numFmtId="2" fontId="7" fillId="3" borderId="0" xfId="0" applyNumberFormat="1" applyFont="1" applyFill="1" applyAlignment="1">
      <alignment horizontal="center"/>
    </xf>
    <xf numFmtId="3" fontId="2" fillId="5" borderId="0" xfId="0" applyNumberFormat="1" applyFont="1" applyFill="1" applyAlignment="1">
      <alignment/>
    </xf>
    <xf numFmtId="0" fontId="2" fillId="6" borderId="0" xfId="0" applyFont="1" applyFill="1" applyAlignment="1">
      <alignment vertical="top"/>
    </xf>
    <xf numFmtId="0" fontId="2" fillId="0" borderId="0" xfId="0" applyFont="1" applyFill="1" applyAlignment="1">
      <alignment vertical="top"/>
    </xf>
    <xf numFmtId="0" fontId="5" fillId="0" borderId="0" xfId="0" applyFont="1" applyFill="1" applyBorder="1" applyAlignment="1">
      <alignment horizontal="centerContinuous"/>
    </xf>
    <xf numFmtId="0" fontId="5" fillId="0" borderId="0" xfId="0" applyFont="1" applyFill="1" applyBorder="1" applyAlignment="1">
      <alignment horizontal="center"/>
    </xf>
    <xf numFmtId="1" fontId="0" fillId="0" borderId="0" xfId="0" applyNumberFormat="1" applyAlignment="1">
      <alignment horizontal="right"/>
    </xf>
    <xf numFmtId="0" fontId="0" fillId="0" borderId="0" xfId="0" applyAlignment="1" quotePrefix="1">
      <alignment horizontal="right"/>
    </xf>
    <xf numFmtId="0" fontId="0" fillId="0" borderId="0" xfId="0" applyFill="1" applyBorder="1" applyAlignment="1">
      <alignment/>
    </xf>
    <xf numFmtId="3" fontId="0" fillId="0" borderId="0" xfId="0" applyNumberFormat="1" applyFill="1" applyBorder="1" applyAlignment="1">
      <alignment/>
    </xf>
    <xf numFmtId="174" fontId="0" fillId="0" borderId="0" xfId="0" applyNumberFormat="1" applyFill="1" applyBorder="1" applyAlignment="1">
      <alignment/>
    </xf>
    <xf numFmtId="167" fontId="0" fillId="0" borderId="0" xfId="0" applyNumberFormat="1" applyFill="1" applyBorder="1" applyAlignment="1">
      <alignment/>
    </xf>
    <xf numFmtId="176" fontId="0" fillId="0" borderId="0" xfId="0" applyNumberFormat="1" applyFill="1" applyBorder="1" applyAlignment="1">
      <alignment/>
    </xf>
    <xf numFmtId="2" fontId="0" fillId="0" borderId="0" xfId="0" applyNumberFormat="1" applyFont="1" applyFill="1" applyAlignment="1">
      <alignment horizontal="righ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6" borderId="0" xfId="0" applyFill="1" applyAlignment="1">
      <alignment/>
    </xf>
    <xf numFmtId="0" fontId="0" fillId="6" borderId="0" xfId="0" applyFill="1" applyAlignment="1">
      <alignment horizontal="center"/>
    </xf>
    <xf numFmtId="9" fontId="2" fillId="2" borderId="0" xfId="0" applyNumberFormat="1" applyFont="1" applyFill="1" applyAlignment="1">
      <alignment/>
    </xf>
    <xf numFmtId="0" fontId="0" fillId="7" borderId="0" xfId="0" applyFill="1" applyAlignment="1">
      <alignment/>
    </xf>
    <xf numFmtId="0" fontId="19" fillId="7" borderId="0" xfId="0" applyFont="1" applyFill="1" applyAlignment="1">
      <alignment horizontal="left"/>
    </xf>
    <xf numFmtId="0" fontId="2" fillId="6" borderId="0" xfId="0" applyFont="1" applyFill="1" applyAlignment="1">
      <alignment/>
    </xf>
    <xf numFmtId="167" fontId="0" fillId="6" borderId="0" xfId="0" applyNumberFormat="1" applyFill="1" applyAlignment="1">
      <alignment horizontal="center"/>
    </xf>
    <xf numFmtId="165" fontId="0" fillId="6" borderId="0" xfId="0" applyNumberFormat="1" applyFill="1" applyAlignment="1">
      <alignment horizontal="center"/>
    </xf>
    <xf numFmtId="174" fontId="0" fillId="6" borderId="0" xfId="0" applyNumberFormat="1" applyFill="1" applyAlignment="1">
      <alignment horizontal="center"/>
    </xf>
    <xf numFmtId="178" fontId="0" fillId="6" borderId="0" xfId="0" applyNumberFormat="1" applyFill="1" applyAlignment="1">
      <alignment horizontal="center"/>
    </xf>
    <xf numFmtId="165" fontId="2" fillId="2" borderId="0" xfId="0" applyNumberFormat="1" applyFont="1" applyFill="1" applyAlignment="1">
      <alignment horizontal="center"/>
    </xf>
    <xf numFmtId="3" fontId="2" fillId="2" borderId="0" xfId="0" applyNumberFormat="1" applyFont="1" applyFill="1" applyAlignment="1">
      <alignment horizontal="center"/>
    </xf>
    <xf numFmtId="9" fontId="2" fillId="2" borderId="0" xfId="0" applyNumberFormat="1" applyFont="1" applyFill="1" applyAlignment="1">
      <alignment horizontal="center"/>
    </xf>
    <xf numFmtId="9" fontId="2" fillId="5" borderId="0" xfId="0" applyNumberFormat="1" applyFont="1" applyFill="1" applyAlignment="1">
      <alignment horizontal="center"/>
    </xf>
    <xf numFmtId="167" fontId="2" fillId="5" borderId="0" xfId="0" applyNumberFormat="1" applyFont="1" applyFill="1" applyAlignment="1">
      <alignment horizontal="center"/>
    </xf>
    <xf numFmtId="4" fontId="2" fillId="5" borderId="0" xfId="0" applyNumberFormat="1" applyFont="1" applyFill="1" applyAlignment="1">
      <alignment horizontal="center"/>
    </xf>
    <xf numFmtId="165" fontId="2" fillId="5" borderId="0" xfId="0" applyNumberFormat="1" applyFont="1" applyFill="1" applyAlignment="1">
      <alignment horizontal="center"/>
    </xf>
    <xf numFmtId="0" fontId="14" fillId="0" borderId="0" xfId="20" applyAlignment="1">
      <alignment/>
    </xf>
    <xf numFmtId="0" fontId="14" fillId="0" borderId="0" xfId="20" applyFont="1" applyAlignment="1">
      <alignment/>
    </xf>
    <xf numFmtId="0" fontId="4" fillId="0" borderId="0" xfId="0" applyFont="1" applyAlignment="1">
      <alignment/>
    </xf>
    <xf numFmtId="0" fontId="0" fillId="0" borderId="0" xfId="0" applyAlignment="1">
      <alignment vertical="top"/>
    </xf>
    <xf numFmtId="167" fontId="0" fillId="3" borderId="1" xfId="0" applyNumberFormat="1" applyFill="1" applyBorder="1" applyAlignment="1" applyProtection="1">
      <alignment horizontal="center"/>
      <protection locked="0"/>
    </xf>
    <xf numFmtId="171" fontId="0" fillId="0" borderId="0" xfId="0" applyNumberFormat="1" applyAlignment="1">
      <alignment/>
    </xf>
    <xf numFmtId="1" fontId="2" fillId="0" borderId="0" xfId="0" applyNumberFormat="1" applyFont="1" applyAlignment="1">
      <alignment/>
    </xf>
    <xf numFmtId="174" fontId="2" fillId="0" borderId="0" xfId="0" applyNumberFormat="1" applyFont="1" applyAlignment="1">
      <alignment/>
    </xf>
    <xf numFmtId="10" fontId="0" fillId="0" borderId="0" xfId="0" applyNumberFormat="1" applyAlignment="1">
      <alignment/>
    </xf>
    <xf numFmtId="0" fontId="2" fillId="0" borderId="66" xfId="0" applyFont="1" applyBorder="1" applyAlignment="1">
      <alignment horizontal="right"/>
    </xf>
    <xf numFmtId="1" fontId="2" fillId="0" borderId="66" xfId="0" applyNumberFormat="1" applyFont="1" applyBorder="1" applyAlignment="1">
      <alignment/>
    </xf>
    <xf numFmtId="2" fontId="0" fillId="0" borderId="0" xfId="0" applyNumberFormat="1" applyFill="1" applyBorder="1" applyAlignment="1" applyProtection="1">
      <alignment/>
      <protection locked="0"/>
    </xf>
    <xf numFmtId="2" fontId="0" fillId="0" borderId="0" xfId="0" applyNumberFormat="1" applyAlignment="1">
      <alignment horizontal="right"/>
    </xf>
    <xf numFmtId="0" fontId="2" fillId="0" borderId="67" xfId="0" applyFont="1" applyBorder="1" applyAlignment="1">
      <alignment vertical="center" wrapText="1"/>
    </xf>
    <xf numFmtId="0" fontId="3" fillId="0" borderId="0" xfId="0" applyFont="1" applyAlignment="1">
      <alignment/>
    </xf>
    <xf numFmtId="0" fontId="0" fillId="0" borderId="0" xfId="0" applyAlignment="1">
      <alignment/>
    </xf>
    <xf numFmtId="0" fontId="0" fillId="0" borderId="0" xfId="0" applyAlignment="1">
      <alignment vertical="top" wrapText="1"/>
    </xf>
    <xf numFmtId="0" fontId="2" fillId="0" borderId="0" xfId="0" applyFont="1" applyAlignment="1">
      <alignment vertical="top" wrapText="1"/>
    </xf>
    <xf numFmtId="0" fontId="3" fillId="0" borderId="0" xfId="0" applyFont="1" applyAlignment="1">
      <alignment horizontal="center"/>
    </xf>
    <xf numFmtId="0" fontId="4" fillId="0" borderId="0" xfId="0" applyFont="1" applyAlignment="1">
      <alignment horizontal="center"/>
    </xf>
    <xf numFmtId="0" fontId="2" fillId="3" borderId="68" xfId="0" applyFont="1" applyFill="1" applyBorder="1" applyAlignment="1">
      <alignment horizontal="left" vertical="top" wrapText="1"/>
    </xf>
    <xf numFmtId="0" fontId="0" fillId="3" borderId="69" xfId="0" applyFill="1" applyBorder="1" applyAlignment="1">
      <alignment horizontal="left" vertical="top" wrapText="1"/>
    </xf>
    <xf numFmtId="0" fontId="0" fillId="3" borderId="69" xfId="0" applyFill="1" applyBorder="1" applyAlignment="1">
      <alignment vertical="top" wrapText="1"/>
    </xf>
    <xf numFmtId="0" fontId="0" fillId="3" borderId="70" xfId="0" applyFill="1" applyBorder="1" applyAlignment="1">
      <alignment vertical="top" wrapText="1"/>
    </xf>
    <xf numFmtId="0" fontId="0" fillId="0" borderId="0" xfId="0" applyAlignment="1">
      <alignment horizontal="center"/>
    </xf>
    <xf numFmtId="0" fontId="3" fillId="0" borderId="71" xfId="0" applyFont="1" applyBorder="1" applyAlignment="1">
      <alignment horizontal="center"/>
    </xf>
    <xf numFmtId="0" fontId="3" fillId="0" borderId="0" xfId="0" applyFont="1" applyAlignment="1">
      <alignment horizontal="center"/>
    </xf>
    <xf numFmtId="0" fontId="2" fillId="0" borderId="72" xfId="0" applyFont="1" applyBorder="1" applyAlignment="1">
      <alignment horizontal="center" wrapText="1"/>
    </xf>
    <xf numFmtId="0" fontId="0" fillId="0" borderId="73" xfId="0" applyBorder="1" applyAlignment="1">
      <alignment horizontal="center" wrapText="1"/>
    </xf>
    <xf numFmtId="0" fontId="2" fillId="0" borderId="74" xfId="0" applyFont="1" applyBorder="1" applyAlignment="1">
      <alignment horizontal="center" wrapText="1"/>
    </xf>
    <xf numFmtId="0" fontId="0" fillId="0" borderId="75" xfId="0" applyBorder="1" applyAlignment="1">
      <alignment horizontal="center" wrapText="1"/>
    </xf>
    <xf numFmtId="0" fontId="0" fillId="0" borderId="76" xfId="0" applyBorder="1" applyAlignment="1">
      <alignment horizontal="center" wrapText="1"/>
    </xf>
    <xf numFmtId="0" fontId="0" fillId="0" borderId="77" xfId="0" applyBorder="1" applyAlignment="1">
      <alignment vertical="center" wrapText="1"/>
    </xf>
    <xf numFmtId="0" fontId="2" fillId="0" borderId="78" xfId="0" applyFont="1" applyBorder="1" applyAlignment="1">
      <alignment horizontal="center" vertical="center" wrapText="1"/>
    </xf>
    <xf numFmtId="0" fontId="0" fillId="0" borderId="79"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Estimates for Tampa, FL</a:t>
            </a:r>
          </a:p>
        </c:rich>
      </c:tx>
      <c:layout>
        <c:manualLayout>
          <c:xMode val="factor"/>
          <c:yMode val="factor"/>
          <c:x val="0.02525"/>
          <c:y val="-0.0075"/>
        </c:manualLayout>
      </c:layout>
      <c:spPr>
        <a:noFill/>
        <a:ln>
          <a:noFill/>
        </a:ln>
      </c:spPr>
    </c:title>
    <c:plotArea>
      <c:layout>
        <c:manualLayout>
          <c:xMode val="edge"/>
          <c:yMode val="edge"/>
          <c:x val="0.07675"/>
          <c:y val="0.06675"/>
          <c:w val="0.88625"/>
          <c:h val="0.84625"/>
        </c:manualLayout>
      </c:layout>
      <c:lineChart>
        <c:grouping val="standard"/>
        <c:varyColors val="0"/>
        <c:ser>
          <c:idx val="0"/>
          <c:order val="0"/>
          <c:tx>
            <c:v>NREL Eq.</c:v>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13"/>
            <c:spPr>
              <a:noFill/>
              <a:ln>
                <a:solidFill>
                  <a:srgbClr val="000080"/>
                </a:solidFill>
              </a:ln>
            </c:spPr>
          </c:marker>
          <c:cat>
            <c:strRef>
              <c:f>'T-mains'!$B$2:$M$2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'T-mains'!$B$7:$M$7</c:f>
              <c:numCache>
                <c:ptCount val="12"/>
                <c:pt idx="0">
                  <c:v>70.92</c:v>
                </c:pt>
                <c:pt idx="1">
                  <c:v>71.45</c:v>
                </c:pt>
                <c:pt idx="2">
                  <c:v>73.73</c:v>
                </c:pt>
                <c:pt idx="3">
                  <c:v>77.18</c:v>
                </c:pt>
                <c:pt idx="4">
                  <c:v>80.9</c:v>
                </c:pt>
                <c:pt idx="5">
                  <c:v>83.91</c:v>
                </c:pt>
                <c:pt idx="6">
                  <c:v>85.44</c:v>
                </c:pt>
                <c:pt idx="7">
                  <c:v>85.07</c:v>
                </c:pt>
                <c:pt idx="8">
                  <c:v>82.92</c:v>
                </c:pt>
                <c:pt idx="9">
                  <c:v>79.53</c:v>
                </c:pt>
                <c:pt idx="10">
                  <c:v>75.8</c:v>
                </c:pt>
                <c:pt idx="11">
                  <c:v>72.69</c:v>
                </c:pt>
              </c:numCache>
            </c:numRef>
          </c:val>
          <c:smooth val="0"/>
        </c:ser>
        <c:ser>
          <c:idx val="1"/>
          <c:order val="1"/>
          <c:tx>
            <c:v>F-Chart</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11"/>
            <c:spPr>
              <a:noFill/>
              <a:ln>
                <a:solidFill>
                  <a:srgbClr val="FF0000"/>
                </a:solidFill>
              </a:ln>
            </c:spPr>
          </c:marker>
          <c:val>
            <c:numRef>
              <c:f>'T-mains'!$B$16:$M$16</c:f>
              <c:numCache>
                <c:ptCount val="12"/>
                <c:pt idx="0">
                  <c:v>71.6</c:v>
                </c:pt>
                <c:pt idx="1">
                  <c:v>71.6</c:v>
                </c:pt>
                <c:pt idx="2">
                  <c:v>71.8</c:v>
                </c:pt>
                <c:pt idx="3">
                  <c:v>72.1</c:v>
                </c:pt>
                <c:pt idx="4">
                  <c:v>72.4</c:v>
                </c:pt>
                <c:pt idx="5">
                  <c:v>72.6</c:v>
                </c:pt>
                <c:pt idx="6">
                  <c:v>72.6</c:v>
                </c:pt>
                <c:pt idx="7">
                  <c:v>72.6</c:v>
                </c:pt>
                <c:pt idx="8">
                  <c:v>72.6</c:v>
                </c:pt>
                <c:pt idx="9">
                  <c:v>72.3</c:v>
                </c:pt>
                <c:pt idx="10">
                  <c:v>71.9</c:v>
                </c:pt>
                <c:pt idx="11">
                  <c:v>71.6</c:v>
                </c:pt>
              </c:numCache>
            </c:numRef>
          </c:val>
          <c:smooth val="0"/>
        </c:ser>
        <c:ser>
          <c:idx val="2"/>
          <c:order val="2"/>
          <c:tx>
            <c:v>Measured (Cocoa)</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noFill/>
              <a:ln>
                <a:solidFill>
                  <a:srgbClr val="339966"/>
                </a:solidFill>
              </a:ln>
            </c:spPr>
          </c:marker>
          <c:val>
            <c:numRef>
              <c:f>'T-mains'!$B$17:$M$17</c:f>
              <c:numCache>
                <c:ptCount val="12"/>
                <c:pt idx="0">
                  <c:v>67.5</c:v>
                </c:pt>
                <c:pt idx="1">
                  <c:v>69.07</c:v>
                </c:pt>
                <c:pt idx="2">
                  <c:v>69.74</c:v>
                </c:pt>
                <c:pt idx="3">
                  <c:v>74.26</c:v>
                </c:pt>
                <c:pt idx="4">
                  <c:v>79.24</c:v>
                </c:pt>
                <c:pt idx="5">
                  <c:v>79.87</c:v>
                </c:pt>
                <c:pt idx="6">
                  <c:v>82.06</c:v>
                </c:pt>
                <c:pt idx="7">
                  <c:v>81.78</c:v>
                </c:pt>
                <c:pt idx="8">
                  <c:v>80.72</c:v>
                </c:pt>
                <c:pt idx="9">
                  <c:v>78.05</c:v>
                </c:pt>
                <c:pt idx="10">
                  <c:v>74.44</c:v>
                </c:pt>
                <c:pt idx="11">
                  <c:v>70.31</c:v>
                </c:pt>
              </c:numCache>
            </c:numRef>
          </c:val>
          <c:smooth val="0"/>
        </c:ser>
        <c:ser>
          <c:idx val="3"/>
          <c:order val="3"/>
          <c:tx>
            <c:v>NREL (Adj)</c:v>
          </c:tx>
          <c:spPr>
            <a:ln w="38100">
              <a:solidFill>
                <a:srgbClr val="3399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339966"/>
              </a:solidFill>
              <a:ln>
                <a:solidFill>
                  <a:srgbClr val="339966"/>
                </a:solidFill>
              </a:ln>
            </c:spPr>
          </c:marker>
          <c:val>
            <c:numRef>
              <c:f>'T-mains'!$B$18:$M$18</c:f>
              <c:numCache>
                <c:ptCount val="12"/>
                <c:pt idx="0">
                  <c:v>68.92</c:v>
                </c:pt>
                <c:pt idx="1">
                  <c:v>69.45</c:v>
                </c:pt>
                <c:pt idx="2">
                  <c:v>71.73</c:v>
                </c:pt>
                <c:pt idx="3">
                  <c:v>75.18</c:v>
                </c:pt>
                <c:pt idx="4">
                  <c:v>78.9</c:v>
                </c:pt>
                <c:pt idx="5">
                  <c:v>81.91</c:v>
                </c:pt>
                <c:pt idx="6">
                  <c:v>83.44</c:v>
                </c:pt>
                <c:pt idx="7">
                  <c:v>83.07</c:v>
                </c:pt>
                <c:pt idx="8">
                  <c:v>80.92</c:v>
                </c:pt>
                <c:pt idx="9">
                  <c:v>77.53</c:v>
                </c:pt>
                <c:pt idx="10">
                  <c:v>73.8</c:v>
                </c:pt>
                <c:pt idx="11">
                  <c:v>70.69</c:v>
                </c:pt>
              </c:numCache>
            </c:numRef>
          </c:val>
          <c:smooth val="0"/>
        </c:ser>
        <c:marker val="1"/>
        <c:axId val="45547227"/>
        <c:axId val="7271860"/>
      </c:lineChart>
      <c:catAx>
        <c:axId val="45547227"/>
        <c:scaling>
          <c:orientation val="minMax"/>
        </c:scaling>
        <c:axPos val="b"/>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7271860"/>
        <c:crosses val="autoZero"/>
        <c:auto val="1"/>
        <c:lblOffset val="100"/>
        <c:noMultiLvlLbl val="0"/>
      </c:catAx>
      <c:valAx>
        <c:axId val="7271860"/>
        <c:scaling>
          <c:orientation val="minMax"/>
          <c:max val="86"/>
          <c:min val="66"/>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575" b="0" i="0" u="none" baseline="0">
                <a:latin typeface="Arial"/>
                <a:ea typeface="Arial"/>
                <a:cs typeface="Arial"/>
              </a:defRPr>
            </a:pPr>
          </a:p>
        </c:txPr>
        <c:crossAx val="45547227"/>
        <c:crossesAt val="1"/>
        <c:crossBetween val="between"/>
        <c:dispUnits/>
        <c:majorUnit val="2"/>
      </c:valAx>
      <c:spPr>
        <a:noFill/>
        <a:ln w="12700">
          <a:solidFill>
            <a:srgbClr val="808080"/>
          </a:solidFill>
        </a:ln>
      </c:spPr>
    </c:plotArea>
    <c:legend>
      <c:legendPos val="b"/>
      <c:layout>
        <c:manualLayout>
          <c:xMode val="edge"/>
          <c:yMode val="edge"/>
          <c:x val="0.0745"/>
          <c:y val="0.93325"/>
          <c:w val="0.90175"/>
          <c:h val="0.0575"/>
        </c:manualLayout>
      </c:layout>
      <c:overlay val="0"/>
      <c:spPr>
        <a:ln w="3175">
          <a:noFill/>
        </a:ln>
      </c:spPr>
      <c:txPr>
        <a:bodyPr vert="horz" rot="0"/>
        <a:lstStyle/>
        <a:p>
          <a:pPr>
            <a:defRPr lang="en-US" cap="none" sz="1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Normalized Solar Energy Factor</a:t>
            </a:r>
          </a:p>
        </c:rich>
      </c:tx>
      <c:layout>
        <c:manualLayout>
          <c:xMode val="factor"/>
          <c:yMode val="factor"/>
          <c:x val="0"/>
          <c:y val="-0.01925"/>
        </c:manualLayout>
      </c:layout>
      <c:spPr>
        <a:noFill/>
        <a:ln>
          <a:noFill/>
        </a:ln>
      </c:spPr>
    </c:title>
    <c:plotArea>
      <c:layout>
        <c:manualLayout>
          <c:xMode val="edge"/>
          <c:yMode val="edge"/>
          <c:x val="0.05175"/>
          <c:y val="0.05175"/>
          <c:w val="0.9365"/>
          <c:h val="0.83125"/>
        </c:manualLayout>
      </c:layout>
      <c:scatterChart>
        <c:scatterStyle val="smoothMarker"/>
        <c:varyColors val="0"/>
        <c:ser>
          <c:idx val="0"/>
          <c:order val="0"/>
          <c:tx>
            <c:v>North (Indirect)</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14"/>
            <c:spPr>
              <a:solidFill>
                <a:srgbClr val="000080"/>
              </a:solidFill>
              <a:ln>
                <a:solidFill>
                  <a:srgbClr val="000080"/>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(N)'!$L$4:$L$12</c:f>
              <c:numCache>
                <c:ptCount val="9"/>
                <c:pt idx="0">
                  <c:v>1.4969999999999999</c:v>
                </c:pt>
                <c:pt idx="1">
                  <c:v>1.268</c:v>
                </c:pt>
                <c:pt idx="2">
                  <c:v>1.073</c:v>
                </c:pt>
                <c:pt idx="3">
                  <c:v>0.9996032999999999</c:v>
                </c:pt>
                <c:pt idx="4">
                  <c:v>0.9119999999999999</c:v>
                </c:pt>
                <c:pt idx="5">
                  <c:v>0.7849999999999999</c:v>
                </c:pt>
                <c:pt idx="6">
                  <c:v>0.692</c:v>
                </c:pt>
                <c:pt idx="7">
                  <c:v>0.6329999999999999</c:v>
                </c:pt>
                <c:pt idx="8">
                  <c:v>0.6079999999999999</c:v>
                </c:pt>
              </c:numCache>
            </c:numRef>
          </c:yVal>
          <c:smooth val="1"/>
        </c:ser>
        <c:ser>
          <c:idx val="1"/>
          <c:order val="1"/>
          <c:tx>
            <c:v>Central (Direct)</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00FF"/>
              </a:solidFill>
              <a:ln>
                <a:solidFill>
                  <a:srgbClr val="FF00FF"/>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(C)'!$L$4:$L$12</c:f>
              <c:numCache>
                <c:ptCount val="9"/>
                <c:pt idx="0">
                  <c:v>1.6310999999999998</c:v>
                </c:pt>
                <c:pt idx="1">
                  <c:v>1.3444</c:v>
                </c:pt>
                <c:pt idx="2">
                  <c:v>1.0999</c:v>
                </c:pt>
                <c:pt idx="3">
                  <c:v>1.00773939</c:v>
                </c:pt>
                <c:pt idx="4">
                  <c:v>0.8976000000000001</c:v>
                </c:pt>
                <c:pt idx="5">
                  <c:v>0.7374999999999999</c:v>
                </c:pt>
                <c:pt idx="6">
                  <c:v>0.6196000000000004</c:v>
                </c:pt>
                <c:pt idx="7">
                  <c:v>0.5439000000000003</c:v>
                </c:pt>
                <c:pt idx="8">
                  <c:v>0.5104000000000002</c:v>
                </c:pt>
              </c:numCache>
            </c:numRef>
          </c:yVal>
          <c:smooth val="1"/>
        </c:ser>
        <c:ser>
          <c:idx val="2"/>
          <c:order val="2"/>
          <c:tx>
            <c:v>South (Direct)</c:v>
          </c:tx>
          <c:spPr>
            <a:ln w="381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3366FF"/>
              </a:solidFill>
              <a:ln>
                <a:solidFill>
                  <a:srgbClr val="3366FF"/>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(S)'!$L$4:$L$12</c:f>
              <c:numCache>
                <c:ptCount val="9"/>
                <c:pt idx="0">
                  <c:v>1.7917</c:v>
                </c:pt>
                <c:pt idx="1">
                  <c:v>1.4328</c:v>
                </c:pt>
                <c:pt idx="2">
                  <c:v>1.1313000000000002</c:v>
                </c:pt>
                <c:pt idx="3">
                  <c:v>1.01930263</c:v>
                </c:pt>
                <c:pt idx="4">
                  <c:v>0.8872000000000002</c:v>
                </c:pt>
                <c:pt idx="5">
                  <c:v>0.7005000000000001</c:v>
                </c:pt>
                <c:pt idx="6">
                  <c:v>0.5712000000000002</c:v>
                </c:pt>
                <c:pt idx="7">
                  <c:v>0.49929999999999986</c:v>
                </c:pt>
                <c:pt idx="8">
                  <c:v>0.4848000000000001</c:v>
                </c:pt>
              </c:numCache>
            </c:numRef>
          </c:yVal>
          <c:smooth val="1"/>
        </c:ser>
        <c:ser>
          <c:idx val="3"/>
          <c:order val="3"/>
          <c:tx>
            <c:v>Std System</c:v>
          </c:tx>
          <c:spPr>
            <a:ln w="38100">
              <a:solidFill>
                <a:srgbClr val="FF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13"/>
            <c:spPr>
              <a:noFill/>
              <a:ln>
                <a:solidFill>
                  <a:srgbClr val="FF0000"/>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(C)'!$O$4:$O$12</c:f>
              <c:numCache>
                <c:ptCount val="9"/>
                <c:pt idx="0">
                  <c:v>0.9449376931708562</c:v>
                </c:pt>
                <c:pt idx="1">
                  <c:v>0.9724666690732758</c:v>
                </c:pt>
                <c:pt idx="2">
                  <c:v>0.992527222440138</c:v>
                </c:pt>
                <c:pt idx="3">
                  <c:v>1</c:v>
                </c:pt>
                <c:pt idx="4">
                  <c:v>1.0077237004835764</c:v>
                </c:pt>
                <c:pt idx="5">
                  <c:v>1.018481681073456</c:v>
                </c:pt>
                <c:pt idx="6">
                  <c:v>1.0278661610972555</c:v>
                </c:pt>
                <c:pt idx="7">
                  <c:v>1.0354991870939145</c:v>
                </c:pt>
                <c:pt idx="8">
                  <c:v>1.0411087377847184</c:v>
                </c:pt>
              </c:numCache>
            </c:numRef>
          </c:yVal>
          <c:smooth val="1"/>
        </c:ser>
        <c:axId val="65446741"/>
        <c:axId val="52149758"/>
      </c:scatterChart>
      <c:valAx>
        <c:axId val="65446741"/>
        <c:scaling>
          <c:orientation val="minMax"/>
          <c:max val="110"/>
          <c:min val="40"/>
        </c:scaling>
        <c:axPos val="b"/>
        <c:title>
          <c:tx>
            <c:rich>
              <a:bodyPr vert="horz" rot="0" anchor="ctr"/>
              <a:lstStyle/>
              <a:p>
                <a:pPr algn="ctr">
                  <a:defRPr/>
                </a:pPr>
                <a:r>
                  <a:rPr lang="en-US" cap="none" sz="1600" b="1" i="0" u="none" baseline="0">
                    <a:latin typeface="Arial"/>
                    <a:ea typeface="Arial"/>
                    <a:cs typeface="Arial"/>
                  </a:rPr>
                  <a:t>Gallons per Day</a:t>
                </a:r>
              </a:p>
            </c:rich>
          </c:tx>
          <c:layout/>
          <c:overlay val="0"/>
          <c:spPr>
            <a:noFill/>
            <a:ln>
              <a:noFill/>
            </a:ln>
          </c:spPr>
        </c:title>
        <c:delete val="0"/>
        <c:numFmt formatCode="General" sourceLinked="1"/>
        <c:majorTickMark val="out"/>
        <c:minorTickMark val="none"/>
        <c:tickLblPos val="nextTo"/>
        <c:txPr>
          <a:bodyPr/>
          <a:lstStyle/>
          <a:p>
            <a:pPr>
              <a:defRPr lang="en-US" cap="none" sz="1525" b="0" i="0" u="none" baseline="0">
                <a:latin typeface="Arial"/>
                <a:ea typeface="Arial"/>
                <a:cs typeface="Arial"/>
              </a:defRPr>
            </a:pPr>
          </a:p>
        </c:txPr>
        <c:crossAx val="52149758"/>
        <c:crosses val="autoZero"/>
        <c:crossBetween val="midCat"/>
        <c:dispUnits/>
      </c:valAx>
      <c:valAx>
        <c:axId val="52149758"/>
        <c:scaling>
          <c:orientation val="minMax"/>
          <c:min val="0.4"/>
        </c:scaling>
        <c:axPos val="l"/>
        <c:majorGridlines>
          <c:spPr>
            <a:ln w="3175">
              <a:solidFill>
                <a:srgbClr val="808080"/>
              </a:solidFill>
              <a:prstDash val="sysDot"/>
            </a:ln>
          </c:spPr>
        </c:majorGridlines>
        <c:delete val="0"/>
        <c:numFmt formatCode="0.0" sourceLinked="0"/>
        <c:majorTickMark val="out"/>
        <c:minorTickMark val="in"/>
        <c:tickLblPos val="nextTo"/>
        <c:txPr>
          <a:bodyPr/>
          <a:lstStyle/>
          <a:p>
            <a:pPr>
              <a:defRPr lang="en-US" cap="none" sz="1525" b="0" i="0" u="none" baseline="0">
                <a:latin typeface="Arial"/>
                <a:ea typeface="Arial"/>
                <a:cs typeface="Arial"/>
              </a:defRPr>
            </a:pPr>
          </a:p>
        </c:txPr>
        <c:crossAx val="65446741"/>
        <c:crosses val="autoZero"/>
        <c:crossBetween val="midCat"/>
        <c:dispUnits/>
        <c:majorUnit val="0.2"/>
        <c:minorUnit val="0.05"/>
      </c:valAx>
      <c:spPr>
        <a:noFill/>
        <a:ln w="12700">
          <a:solidFill>
            <a:srgbClr val="808080"/>
          </a:solidFill>
        </a:ln>
      </c:spPr>
    </c:plotArea>
    <c:legend>
      <c:legendPos val="r"/>
      <c:layout>
        <c:manualLayout>
          <c:xMode val="edge"/>
          <c:yMode val="edge"/>
          <c:x val="0.00525"/>
          <c:y val="0.9385"/>
          <c:w val="0.98575"/>
          <c:h val="0.05375"/>
        </c:manualLayout>
      </c:layout>
      <c:overlay val="0"/>
      <c:spPr>
        <a:ln w="3175">
          <a:noFill/>
        </a:ln>
      </c:spPr>
      <c:txPr>
        <a:bodyPr vert="horz" rot="0"/>
        <a:lstStyle/>
        <a:p>
          <a:pPr>
            <a:defRPr lang="en-US" cap="none" sz="1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0.3315</cdr:y>
    </cdr:from>
    <cdr:to>
      <cdr:x>0.0625</cdr:x>
      <cdr:y>0.56125</cdr:y>
    </cdr:to>
    <cdr:sp>
      <cdr:nvSpPr>
        <cdr:cNvPr id="1" name="TextBox 1"/>
        <cdr:cNvSpPr txBox="1">
          <a:spLocks noChangeArrowheads="1"/>
        </cdr:cNvSpPr>
      </cdr:nvSpPr>
      <cdr:spPr>
        <a:xfrm>
          <a:off x="228600" y="1962150"/>
          <a:ext cx="304800" cy="1362075"/>
        </a:xfrm>
        <a:prstGeom prst="rect">
          <a:avLst/>
        </a:prstGeom>
        <a:noFill/>
        <a:ln w="9525" cmpd="sng">
          <a:noFill/>
        </a:ln>
      </cdr:spPr>
      <cdr:txBody>
        <a:bodyPr vertOverflow="clip" wrap="square" anchor="b" vert="vert270"/>
        <a:p>
          <a:pPr algn="l">
            <a:defRPr/>
          </a:pPr>
          <a:r>
            <a:rPr lang="en-US" cap="none" sz="1800" b="0" i="0" u="none" baseline="0">
              <a:latin typeface="Arial"/>
              <a:ea typeface="Arial"/>
              <a:cs typeface="Arial"/>
            </a:rPr>
            <a:t>T-Mains (F)</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0.429</cdr:y>
    </cdr:from>
    <cdr:to>
      <cdr:x>0.04525</cdr:x>
      <cdr:y>0.54975</cdr:y>
    </cdr:to>
    <cdr:sp>
      <cdr:nvSpPr>
        <cdr:cNvPr id="1" name="TextBox 1"/>
        <cdr:cNvSpPr txBox="1">
          <a:spLocks noChangeArrowheads="1"/>
        </cdr:cNvSpPr>
      </cdr:nvSpPr>
      <cdr:spPr>
        <a:xfrm>
          <a:off x="104775" y="2543175"/>
          <a:ext cx="276225" cy="714375"/>
        </a:xfrm>
        <a:prstGeom prst="rect">
          <a:avLst/>
        </a:prstGeom>
        <a:noFill/>
        <a:ln w="9525" cmpd="sng">
          <a:noFill/>
        </a:ln>
      </cdr:spPr>
      <cdr:txBody>
        <a:bodyPr vertOverflow="clip" wrap="square" anchor="b" vert="vert270"/>
        <a:p>
          <a:pPr algn="l">
            <a:defRPr/>
          </a:pPr>
          <a:r>
            <a:rPr lang="en-US" cap="none" sz="1600" b="0" i="0" u="none" baseline="0">
              <a:latin typeface="Arial"/>
              <a:ea typeface="Arial"/>
              <a:cs typeface="Arial"/>
            </a:rPr>
            <a:t>nSEF</a:t>
          </a:r>
        </a:p>
      </cdr:txBody>
    </cdr:sp>
  </cdr:relSizeAnchor>
  <cdr:relSizeAnchor xmlns:cdr="http://schemas.openxmlformats.org/drawingml/2006/chartDrawing">
    <cdr:from>
      <cdr:x>0.11875</cdr:x>
      <cdr:y>0.096</cdr:y>
    </cdr:from>
    <cdr:to>
      <cdr:x>0.60375</cdr:x>
      <cdr:y>0.14175</cdr:y>
    </cdr:to>
    <cdr:sp>
      <cdr:nvSpPr>
        <cdr:cNvPr id="2" name="TextBox 2"/>
        <cdr:cNvSpPr txBox="1">
          <a:spLocks noChangeArrowheads="1"/>
        </cdr:cNvSpPr>
      </cdr:nvSpPr>
      <cdr:spPr>
        <a:xfrm>
          <a:off x="1028700" y="561975"/>
          <a:ext cx="4210050" cy="276225"/>
        </a:xfrm>
        <a:prstGeom prst="rect">
          <a:avLst/>
        </a:prstGeom>
        <a:noFill/>
        <a:ln w="9525" cmpd="sng">
          <a:noFill/>
        </a:ln>
      </cdr:spPr>
      <cdr:txBody>
        <a:bodyPr vertOverflow="clip" wrap="square">
          <a:spAutoFit/>
        </a:bodyPr>
        <a:p>
          <a:pPr algn="l">
            <a:defRPr/>
          </a:pPr>
          <a:r>
            <a:rPr lang="en-US" cap="none" sz="1400" b="0" i="0" u="none" baseline="0">
              <a:latin typeface="Arial"/>
              <a:ea typeface="Arial"/>
              <a:cs typeface="Arial"/>
            </a:rPr>
            <a:t>40 sq.ft.; 80 gallon; PV pumped active solar systems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sec.ucf.edu/en/industry/testing/STsystems/ratings/" TargetMode="External" /><Relationship Id="rId2" Type="http://schemas.openxmlformats.org/officeDocument/2006/relationships/hyperlink" Target="http://www.flaseia.org/" TargetMode="External" /><Relationship Id="rId3" Type="http://schemas.openxmlformats.org/officeDocument/2006/relationships/hyperlink" Target="http://www.dep.state.fl.us/energy/incentives.ht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2"/>
  <sheetViews>
    <sheetView showGridLines="0" tabSelected="1" workbookViewId="0" topLeftCell="A1">
      <selection activeCell="A1" sqref="A1"/>
    </sheetView>
  </sheetViews>
  <sheetFormatPr defaultColWidth="9.140625" defaultRowHeight="12.75"/>
  <cols>
    <col min="1" max="2" width="3.28125" style="0" customWidth="1"/>
  </cols>
  <sheetData>
    <row r="1" ht="7.5" customHeight="1">
      <c r="A1" t="s">
        <v>342</v>
      </c>
    </row>
    <row r="2" spans="1:10" ht="15.75">
      <c r="A2" s="229" t="s">
        <v>341</v>
      </c>
      <c r="B2" s="230"/>
      <c r="C2" s="230"/>
      <c r="D2" s="230"/>
      <c r="E2" s="230"/>
      <c r="F2" s="230"/>
      <c r="G2" s="230"/>
      <c r="H2" s="230"/>
      <c r="I2" s="230"/>
      <c r="J2" s="230"/>
    </row>
    <row r="3" ht="7.5" customHeight="1">
      <c r="A3" s="217"/>
    </row>
    <row r="4" spans="2:10" ht="40.5" customHeight="1">
      <c r="B4" s="231" t="s">
        <v>344</v>
      </c>
      <c r="C4" s="231"/>
      <c r="D4" s="231"/>
      <c r="E4" s="231"/>
      <c r="F4" s="231"/>
      <c r="G4" s="231"/>
      <c r="H4" s="231"/>
      <c r="I4" s="231"/>
      <c r="J4" s="231"/>
    </row>
    <row r="5" ht="7.5" customHeight="1"/>
    <row r="6" spans="2:10" ht="40.5" customHeight="1">
      <c r="B6" s="232" t="s">
        <v>340</v>
      </c>
      <c r="C6" s="231"/>
      <c r="D6" s="231"/>
      <c r="E6" s="231"/>
      <c r="F6" s="231"/>
      <c r="G6" s="231"/>
      <c r="H6" s="231"/>
      <c r="I6" s="231"/>
      <c r="J6" s="231"/>
    </row>
    <row r="7" ht="7.5" customHeight="1"/>
    <row r="8" spans="3:10" ht="25.5" customHeight="1">
      <c r="C8" s="231" t="s">
        <v>343</v>
      </c>
      <c r="D8" s="231"/>
      <c r="E8" s="231"/>
      <c r="F8" s="231"/>
      <c r="G8" s="231"/>
      <c r="H8" s="231"/>
      <c r="I8" s="231"/>
      <c r="J8" s="231"/>
    </row>
    <row r="9" ht="7.5" customHeight="1"/>
    <row r="10" spans="3:11" ht="25.5" customHeight="1">
      <c r="C10" s="231" t="s">
        <v>346</v>
      </c>
      <c r="D10" s="231"/>
      <c r="E10" s="231"/>
      <c r="F10" s="231"/>
      <c r="G10" s="231"/>
      <c r="H10" s="231"/>
      <c r="I10" s="231"/>
      <c r="J10" s="231"/>
      <c r="K10" s="218"/>
    </row>
    <row r="11" ht="7.5" customHeight="1"/>
    <row r="12" spans="2:10" ht="25.5" customHeight="1">
      <c r="B12" s="232" t="s">
        <v>345</v>
      </c>
      <c r="C12" s="231"/>
      <c r="D12" s="231"/>
      <c r="E12" s="231"/>
      <c r="F12" s="231"/>
      <c r="G12" s="231"/>
      <c r="H12" s="231"/>
      <c r="I12" s="231"/>
      <c r="J12" s="231"/>
    </row>
    <row r="13" ht="7.5" customHeight="1"/>
  </sheetData>
  <sheetProtection password="DC79" sheet="1" objects="1" scenarios="1"/>
  <mergeCells count="6">
    <mergeCell ref="A2:J2"/>
    <mergeCell ref="C10:J10"/>
    <mergeCell ref="B12:J12"/>
    <mergeCell ref="B4:J4"/>
    <mergeCell ref="B6:J6"/>
    <mergeCell ref="C8:J8"/>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F73"/>
  <sheetViews>
    <sheetView workbookViewId="0" topLeftCell="A1">
      <selection activeCell="A2" sqref="A2"/>
    </sheetView>
  </sheetViews>
  <sheetFormatPr defaultColWidth="9.140625" defaultRowHeight="12.75"/>
  <cols>
    <col min="1" max="1" width="7.140625" style="0" customWidth="1"/>
    <col min="3" max="3" width="8.00390625" style="0" customWidth="1"/>
    <col min="10" max="10" width="9.00390625" style="0" customWidth="1"/>
    <col min="13" max="13" width="3.57421875" style="0" customWidth="1"/>
    <col min="17" max="17" width="3.421875" style="0" customWidth="1"/>
  </cols>
  <sheetData>
    <row r="1" ht="12.75">
      <c r="A1" t="s">
        <v>165</v>
      </c>
    </row>
    <row r="2" spans="1:18" ht="12.75">
      <c r="A2" t="s">
        <v>287</v>
      </c>
      <c r="N2" t="s">
        <v>254</v>
      </c>
      <c r="R2" t="s">
        <v>253</v>
      </c>
    </row>
    <row r="3" spans="1:21" ht="12.75">
      <c r="A3" s="1" t="s">
        <v>167</v>
      </c>
      <c r="B3" s="1" t="s">
        <v>4</v>
      </c>
      <c r="C3" s="1" t="s">
        <v>250</v>
      </c>
      <c r="D3" s="1" t="s">
        <v>168</v>
      </c>
      <c r="E3" s="1" t="s">
        <v>169</v>
      </c>
      <c r="F3" s="1" t="s">
        <v>170</v>
      </c>
      <c r="G3" s="1" t="s">
        <v>171</v>
      </c>
      <c r="H3" s="1" t="s">
        <v>172</v>
      </c>
      <c r="I3" s="1" t="s">
        <v>173</v>
      </c>
      <c r="J3" s="1" t="s">
        <v>167</v>
      </c>
      <c r="K3" s="1" t="s">
        <v>174</v>
      </c>
      <c r="L3" s="1" t="s">
        <v>175</v>
      </c>
      <c r="N3" s="1" t="s">
        <v>258</v>
      </c>
      <c r="O3" s="1" t="s">
        <v>259</v>
      </c>
      <c r="P3" s="1" t="s">
        <v>175</v>
      </c>
      <c r="R3" s="1" t="s">
        <v>255</v>
      </c>
      <c r="S3" s="1" t="s">
        <v>256</v>
      </c>
      <c r="T3" s="1" t="s">
        <v>257</v>
      </c>
      <c r="U3" s="1" t="s">
        <v>175</v>
      </c>
    </row>
    <row r="4" spans="1:21" ht="12.75">
      <c r="A4">
        <v>1</v>
      </c>
      <c r="B4">
        <f aca="true" t="shared" si="0" ref="B4:B12">30+A4*10</f>
        <v>40</v>
      </c>
      <c r="C4" s="2">
        <f>(B4*Calculator!$C$13*Calculator!$C$14*(Calculator!$C$15-'T-mains'!$N$5))*365/10^3/3.412</f>
        <v>1628.2822586948025</v>
      </c>
      <c r="D4">
        <v>1879</v>
      </c>
      <c r="E4">
        <v>308</v>
      </c>
      <c r="F4">
        <f aca="true" t="shared" si="1" ref="F4:F12">D4-E4</f>
        <v>1571</v>
      </c>
      <c r="G4" s="34">
        <f aca="true" t="shared" si="2" ref="G4:G12">F4/D4</f>
        <v>0.8360830228845131</v>
      </c>
      <c r="H4" s="64">
        <f aca="true" t="shared" si="3" ref="H4:H12">C4/E4</f>
        <v>5.28663071004806</v>
      </c>
      <c r="I4" s="43">
        <f aca="true" t="shared" si="4" ref="I4:I12">H4/$H$7</f>
        <v>1.5188543959928096</v>
      </c>
      <c r="J4">
        <f aca="true" t="shared" si="5" ref="J4:J12">A4</f>
        <v>1</v>
      </c>
      <c r="K4">
        <f aca="true" t="shared" si="6" ref="K4:K12">J4^2</f>
        <v>1</v>
      </c>
      <c r="L4" s="43">
        <f>1.76-0.28*J4+0.017*J4^2</f>
        <v>1.4969999999999999</v>
      </c>
      <c r="N4" s="79">
        <f aca="true" t="shared" si="7" ref="N4:N12">C4/D4</f>
        <v>0.8665685251169785</v>
      </c>
      <c r="O4" s="79">
        <f aca="true" t="shared" si="8" ref="O4:O12">N4/$N$7</f>
        <v>0.9475275969067957</v>
      </c>
      <c r="P4" s="79">
        <f>0.924+0.0274*J4-0.00166*J4^2</f>
        <v>0.94974</v>
      </c>
      <c r="R4">
        <v>114</v>
      </c>
      <c r="S4" s="79">
        <f aca="true" t="shared" si="9" ref="S4:S12">C4/(R4/10*293)</f>
        <v>0.4874804678446807</v>
      </c>
      <c r="T4" s="79">
        <f aca="true" t="shared" si="10" ref="T4:T12">S4/$S$7</f>
        <v>0.8567296935963546</v>
      </c>
      <c r="U4" s="79">
        <f>0.794+0.0735*J4-0.004*J4^2</f>
        <v>0.8635</v>
      </c>
    </row>
    <row r="5" spans="1:21" ht="12.75">
      <c r="A5">
        <v>2</v>
      </c>
      <c r="B5">
        <f t="shared" si="0"/>
        <v>50</v>
      </c>
      <c r="C5" s="2">
        <f>(B5*Calculator!$C$13*Calculator!$C$14*(Calculator!$C$15-'T-mains'!$N$5))*365/10^3/3.412</f>
        <v>2035.3528233685036</v>
      </c>
      <c r="D5">
        <v>2286</v>
      </c>
      <c r="E5">
        <v>464</v>
      </c>
      <c r="F5">
        <f t="shared" si="1"/>
        <v>1822</v>
      </c>
      <c r="G5" s="34">
        <f t="shared" si="2"/>
        <v>0.7970253718285214</v>
      </c>
      <c r="H5" s="64">
        <f t="shared" si="3"/>
        <v>4.3865362572597055</v>
      </c>
      <c r="I5" s="43">
        <f t="shared" si="4"/>
        <v>1.2602563415026546</v>
      </c>
      <c r="J5">
        <f t="shared" si="5"/>
        <v>2</v>
      </c>
      <c r="K5">
        <f t="shared" si="6"/>
        <v>4</v>
      </c>
      <c r="L5" s="43">
        <f aca="true" t="shared" si="11" ref="L5:L12">1.76-0.28*J5+0.017*J5^2</f>
        <v>1.268</v>
      </c>
      <c r="N5" s="79">
        <f t="shared" si="7"/>
        <v>0.890355565777998</v>
      </c>
      <c r="O5" s="79">
        <f t="shared" si="8"/>
        <v>0.9735369392978288</v>
      </c>
      <c r="P5" s="79">
        <f aca="true" t="shared" si="12" ref="P5:P12">0.924+0.0274*J5-0.00166*J5^2</f>
        <v>0.97216</v>
      </c>
      <c r="R5">
        <v>131</v>
      </c>
      <c r="S5" s="79">
        <f t="shared" si="9"/>
        <v>0.5302745547165422</v>
      </c>
      <c r="T5" s="79">
        <f t="shared" si="10"/>
        <v>0.9319387888357296</v>
      </c>
      <c r="U5" s="79">
        <f aca="true" t="shared" si="13" ref="U5:U12">0.794+0.0735*J5-0.004*J5^2</f>
        <v>0.925</v>
      </c>
    </row>
    <row r="6" spans="1:21" ht="12.75">
      <c r="A6">
        <v>3</v>
      </c>
      <c r="B6">
        <f t="shared" si="0"/>
        <v>60</v>
      </c>
      <c r="C6" s="2">
        <f>(B6*Calculator!$C$13*Calculator!$C$14*(Calculator!$C$15-'T-mains'!$N$5))*365/10^3/3.412</f>
        <v>2442.423388042205</v>
      </c>
      <c r="D6">
        <v>2689</v>
      </c>
      <c r="E6">
        <v>657</v>
      </c>
      <c r="F6">
        <f t="shared" si="1"/>
        <v>2032</v>
      </c>
      <c r="G6" s="34">
        <f t="shared" si="2"/>
        <v>0.7556712532539978</v>
      </c>
      <c r="H6" s="64">
        <f t="shared" si="3"/>
        <v>3.717539403412793</v>
      </c>
      <c r="I6" s="43">
        <f t="shared" si="4"/>
        <v>1.0680528629355834</v>
      </c>
      <c r="J6">
        <f t="shared" si="5"/>
        <v>3</v>
      </c>
      <c r="K6">
        <f t="shared" si="6"/>
        <v>9</v>
      </c>
      <c r="L6" s="43">
        <f t="shared" si="11"/>
        <v>1.073</v>
      </c>
      <c r="N6" s="79">
        <f t="shared" si="7"/>
        <v>0.9083017434147285</v>
      </c>
      <c r="O6" s="79">
        <f t="shared" si="8"/>
        <v>0.9931597366611398</v>
      </c>
      <c r="P6" s="79">
        <f t="shared" si="12"/>
        <v>0.99126</v>
      </c>
      <c r="R6">
        <v>149</v>
      </c>
      <c r="S6" s="79">
        <f t="shared" si="9"/>
        <v>0.5594574496740969</v>
      </c>
      <c r="T6" s="79">
        <f t="shared" si="10"/>
        <v>0.9832266953354142</v>
      </c>
      <c r="U6" s="79">
        <f t="shared" si="13"/>
        <v>0.9784999999999999</v>
      </c>
    </row>
    <row r="7" spans="1:24" ht="12.75">
      <c r="A7" s="65">
        <v>3.43</v>
      </c>
      <c r="B7" s="66">
        <f t="shared" si="0"/>
        <v>64.30000000000001</v>
      </c>
      <c r="C7" s="179">
        <f>(B7*Calculator!$C$13*Calculator!$C$14*(Calculator!$C$15-'T-mains'!$N$5))*365/10^3/3.412</f>
        <v>2617.4637308518954</v>
      </c>
      <c r="D7" s="66">
        <v>2862</v>
      </c>
      <c r="E7" s="66">
        <v>752</v>
      </c>
      <c r="F7" s="66">
        <f t="shared" si="1"/>
        <v>2110</v>
      </c>
      <c r="G7" s="67">
        <f t="shared" si="2"/>
        <v>0.7372466806429071</v>
      </c>
      <c r="H7" s="68">
        <f t="shared" si="3"/>
        <v>3.480669854856244</v>
      </c>
      <c r="I7" s="69">
        <f t="shared" si="4"/>
        <v>1</v>
      </c>
      <c r="J7" s="66">
        <f t="shared" si="5"/>
        <v>3.43</v>
      </c>
      <c r="K7" s="66">
        <f t="shared" si="6"/>
        <v>11.7649</v>
      </c>
      <c r="L7" s="69">
        <f t="shared" si="11"/>
        <v>0.9996032999999999</v>
      </c>
      <c r="M7" s="77"/>
      <c r="N7" s="95">
        <f t="shared" si="7"/>
        <v>0.914557557949649</v>
      </c>
      <c r="O7" s="95">
        <f t="shared" si="8"/>
        <v>1</v>
      </c>
      <c r="P7" s="95">
        <f t="shared" si="12"/>
        <v>0.9984522659999999</v>
      </c>
      <c r="Q7" s="66"/>
      <c r="R7" s="66">
        <v>157</v>
      </c>
      <c r="S7" s="95">
        <f t="shared" si="9"/>
        <v>0.5690014849355222</v>
      </c>
      <c r="T7" s="95">
        <f t="shared" si="10"/>
        <v>1</v>
      </c>
      <c r="U7" s="95">
        <f t="shared" si="13"/>
        <v>0.9990454000000001</v>
      </c>
      <c r="V7" s="180" t="s">
        <v>251</v>
      </c>
      <c r="W7" s="66"/>
      <c r="X7" s="66"/>
    </row>
    <row r="8" spans="1:21" ht="12.75">
      <c r="A8">
        <v>4</v>
      </c>
      <c r="B8">
        <f t="shared" si="0"/>
        <v>70</v>
      </c>
      <c r="C8" s="2">
        <f>(B8*Calculator!$C$13*Calculator!$C$14*(Calculator!$C$15-'T-mains'!$N$5))*365/10^3/3.412</f>
        <v>2849.4939527159045</v>
      </c>
      <c r="D8">
        <v>3093</v>
      </c>
      <c r="E8">
        <v>888</v>
      </c>
      <c r="F8">
        <f t="shared" si="1"/>
        <v>2205</v>
      </c>
      <c r="G8" s="34">
        <f t="shared" si="2"/>
        <v>0.7129000969932104</v>
      </c>
      <c r="H8" s="64">
        <f t="shared" si="3"/>
        <v>3.208889586391784</v>
      </c>
      <c r="I8" s="43">
        <f t="shared" si="4"/>
        <v>0.9219172516217616</v>
      </c>
      <c r="J8">
        <f t="shared" si="5"/>
        <v>4</v>
      </c>
      <c r="K8">
        <f t="shared" si="6"/>
        <v>16</v>
      </c>
      <c r="L8" s="43">
        <f t="shared" si="11"/>
        <v>0.9119999999999999</v>
      </c>
      <c r="N8" s="79">
        <f t="shared" si="7"/>
        <v>0.9212718890125783</v>
      </c>
      <c r="O8" s="79">
        <f t="shared" si="8"/>
        <v>1.0073416167244653</v>
      </c>
      <c r="P8" s="79">
        <f t="shared" si="12"/>
        <v>1.0070400000000002</v>
      </c>
      <c r="R8">
        <v>167</v>
      </c>
      <c r="S8" s="79">
        <f t="shared" si="9"/>
        <v>0.5823494211677473</v>
      </c>
      <c r="T8" s="79">
        <f t="shared" si="10"/>
        <v>1.0234585261824716</v>
      </c>
      <c r="U8" s="79">
        <f t="shared" si="13"/>
        <v>1.024</v>
      </c>
    </row>
    <row r="9" spans="1:21" ht="12.75">
      <c r="A9">
        <v>5</v>
      </c>
      <c r="B9">
        <f t="shared" si="0"/>
        <v>80</v>
      </c>
      <c r="C9" s="2">
        <f>(B9*Calculator!$C$13*Calculator!$C$14*(Calculator!$C$15-'T-mains'!$N$5))*365/10^3/3.412</f>
        <v>3256.564517389605</v>
      </c>
      <c r="D9">
        <v>3499</v>
      </c>
      <c r="E9">
        <v>1153</v>
      </c>
      <c r="F9">
        <f t="shared" si="1"/>
        <v>2346</v>
      </c>
      <c r="G9" s="34">
        <f t="shared" si="2"/>
        <v>0.670477279222635</v>
      </c>
      <c r="H9" s="64">
        <f t="shared" si="3"/>
        <v>2.8244271616562058</v>
      </c>
      <c r="I9" s="43">
        <f t="shared" si="4"/>
        <v>0.8114608047975461</v>
      </c>
      <c r="J9">
        <f t="shared" si="5"/>
        <v>5</v>
      </c>
      <c r="K9">
        <f t="shared" si="6"/>
        <v>25</v>
      </c>
      <c r="L9" s="43">
        <f t="shared" si="11"/>
        <v>0.7849999999999999</v>
      </c>
      <c r="N9" s="79">
        <f t="shared" si="7"/>
        <v>0.9307129229464433</v>
      </c>
      <c r="O9" s="79">
        <f t="shared" si="8"/>
        <v>1.0176646782439949</v>
      </c>
      <c r="P9" s="79">
        <f t="shared" si="12"/>
        <v>1.0194999999999999</v>
      </c>
      <c r="R9">
        <v>185</v>
      </c>
      <c r="S9" s="79">
        <f t="shared" si="9"/>
        <v>0.60078673874912</v>
      </c>
      <c r="T9" s="79">
        <f t="shared" si="10"/>
        <v>1.0558614602160479</v>
      </c>
      <c r="U9" s="79">
        <f t="shared" si="13"/>
        <v>1.0614999999999999</v>
      </c>
    </row>
    <row r="10" spans="1:21" ht="12.75">
      <c r="A10">
        <v>6</v>
      </c>
      <c r="B10">
        <f t="shared" si="0"/>
        <v>90</v>
      </c>
      <c r="C10" s="2">
        <f>(B10*Calculator!$C$13*Calculator!$C$14*(Calculator!$C$15-'T-mains'!$N$5))*365/10^3/3.412</f>
        <v>3663.635082063307</v>
      </c>
      <c r="D10">
        <v>3903</v>
      </c>
      <c r="E10">
        <v>1443</v>
      </c>
      <c r="F10">
        <f t="shared" si="1"/>
        <v>2460</v>
      </c>
      <c r="G10" s="34">
        <f t="shared" si="2"/>
        <v>0.6302843966179862</v>
      </c>
      <c r="H10" s="64">
        <f t="shared" si="3"/>
        <v>2.5389016507715225</v>
      </c>
      <c r="I10" s="43">
        <f t="shared" si="4"/>
        <v>0.7294290342501852</v>
      </c>
      <c r="J10">
        <f t="shared" si="5"/>
        <v>6</v>
      </c>
      <c r="K10">
        <f t="shared" si="6"/>
        <v>36</v>
      </c>
      <c r="L10" s="43">
        <f t="shared" si="11"/>
        <v>0.692</v>
      </c>
      <c r="N10" s="79">
        <f t="shared" si="7"/>
        <v>0.9386715557425844</v>
      </c>
      <c r="O10" s="79">
        <f t="shared" si="8"/>
        <v>1.0263668454580341</v>
      </c>
      <c r="P10" s="79">
        <f t="shared" si="12"/>
        <v>1.02864</v>
      </c>
      <c r="R10">
        <v>202</v>
      </c>
      <c r="S10" s="79">
        <f t="shared" si="9"/>
        <v>0.6190036633770329</v>
      </c>
      <c r="T10" s="79">
        <f t="shared" si="10"/>
        <v>1.0878770614230944</v>
      </c>
      <c r="U10" s="79">
        <f t="shared" si="13"/>
        <v>1.0909999999999997</v>
      </c>
    </row>
    <row r="11" spans="1:21" ht="12.75">
      <c r="A11">
        <v>7</v>
      </c>
      <c r="B11">
        <f t="shared" si="0"/>
        <v>100</v>
      </c>
      <c r="C11" s="2">
        <f>(B11*Calculator!$C$13*Calculator!$C$14*(Calculator!$C$15-'T-mains'!$N$5))*365/10^3/3.412</f>
        <v>4070.705646737007</v>
      </c>
      <c r="D11">
        <v>4307</v>
      </c>
      <c r="E11">
        <v>1756</v>
      </c>
      <c r="F11">
        <f t="shared" si="1"/>
        <v>2551</v>
      </c>
      <c r="G11" s="34">
        <f t="shared" si="2"/>
        <v>0.5922916182957976</v>
      </c>
      <c r="H11" s="64">
        <f t="shared" si="3"/>
        <v>2.318169502697612</v>
      </c>
      <c r="I11" s="43">
        <f t="shared" si="4"/>
        <v>0.6660124629353437</v>
      </c>
      <c r="J11">
        <f t="shared" si="5"/>
        <v>7</v>
      </c>
      <c r="K11">
        <f t="shared" si="6"/>
        <v>49</v>
      </c>
      <c r="L11" s="43">
        <f t="shared" si="11"/>
        <v>0.6329999999999999</v>
      </c>
      <c r="N11" s="79">
        <f t="shared" si="7"/>
        <v>0.9451371364608793</v>
      </c>
      <c r="O11" s="79">
        <f t="shared" si="8"/>
        <v>1.0334364723635183</v>
      </c>
      <c r="P11" s="79">
        <f t="shared" si="12"/>
        <v>1.0344600000000002</v>
      </c>
      <c r="R11">
        <v>220</v>
      </c>
      <c r="S11" s="79">
        <f t="shared" si="9"/>
        <v>0.6315087878897001</v>
      </c>
      <c r="T11" s="79">
        <f t="shared" si="10"/>
        <v>1.1098543757952777</v>
      </c>
      <c r="U11" s="79">
        <f t="shared" si="13"/>
        <v>1.1125</v>
      </c>
    </row>
    <row r="12" spans="1:21" ht="12.75">
      <c r="A12">
        <v>8</v>
      </c>
      <c r="B12">
        <f t="shared" si="0"/>
        <v>110</v>
      </c>
      <c r="C12" s="2">
        <f>(B12*Calculator!$C$13*Calculator!$C$14*(Calculator!$C$15-'T-mains'!$N$5))*365/10^3/3.412</f>
        <v>4477.776211410707</v>
      </c>
      <c r="D12">
        <v>4713</v>
      </c>
      <c r="E12">
        <v>2087</v>
      </c>
      <c r="F12">
        <f t="shared" si="1"/>
        <v>2626</v>
      </c>
      <c r="G12" s="34">
        <f t="shared" si="2"/>
        <v>0.5571822618289837</v>
      </c>
      <c r="H12" s="64">
        <f t="shared" si="3"/>
        <v>2.1455564022092513</v>
      </c>
      <c r="I12" s="43">
        <f t="shared" si="4"/>
        <v>0.6164205430790176</v>
      </c>
      <c r="J12">
        <f t="shared" si="5"/>
        <v>8</v>
      </c>
      <c r="K12">
        <f t="shared" si="6"/>
        <v>64</v>
      </c>
      <c r="L12" s="43">
        <f t="shared" si="11"/>
        <v>0.6079999999999999</v>
      </c>
      <c r="N12" s="79">
        <f t="shared" si="7"/>
        <v>0.950090433144644</v>
      </c>
      <c r="O12" s="79">
        <f t="shared" si="8"/>
        <v>1.0388525302602674</v>
      </c>
      <c r="P12" s="79">
        <f t="shared" si="12"/>
        <v>1.03696</v>
      </c>
      <c r="R12">
        <v>238</v>
      </c>
      <c r="S12" s="79">
        <f t="shared" si="9"/>
        <v>0.6421223809634765</v>
      </c>
      <c r="T12" s="79">
        <f t="shared" si="10"/>
        <v>1.128507390514526</v>
      </c>
      <c r="U12" s="79">
        <f t="shared" si="13"/>
        <v>1.1260000000000001</v>
      </c>
    </row>
    <row r="14" spans="1:18" ht="12.75">
      <c r="A14" t="s">
        <v>176</v>
      </c>
      <c r="R14" t="s">
        <v>306</v>
      </c>
    </row>
    <row r="15" ht="12.75">
      <c r="A15" t="s">
        <v>288</v>
      </c>
    </row>
    <row r="17" spans="2:24" ht="12.75">
      <c r="B17" t="s">
        <v>295</v>
      </c>
      <c r="N17" t="s">
        <v>290</v>
      </c>
      <c r="X17" t="s">
        <v>311</v>
      </c>
    </row>
    <row r="18" spans="2:24" ht="12.75">
      <c r="B18" t="s">
        <v>177</v>
      </c>
      <c r="N18" t="s">
        <v>177</v>
      </c>
      <c r="X18" t="s">
        <v>177</v>
      </c>
    </row>
    <row r="19" ht="13.5" thickBot="1"/>
    <row r="20" spans="2:25" ht="12.75">
      <c r="B20" s="70" t="s">
        <v>178</v>
      </c>
      <c r="C20" s="70"/>
      <c r="N20" s="70" t="s">
        <v>178</v>
      </c>
      <c r="O20" s="70"/>
      <c r="X20" s="70" t="s">
        <v>178</v>
      </c>
      <c r="Y20" s="70"/>
    </row>
    <row r="21" spans="2:25" ht="12.75">
      <c r="B21" s="71" t="s">
        <v>179</v>
      </c>
      <c r="C21" s="71">
        <v>0.9987583774634778</v>
      </c>
      <c r="N21" s="71" t="s">
        <v>179</v>
      </c>
      <c r="O21" s="71">
        <v>0.9981469673301906</v>
      </c>
      <c r="X21" s="71" t="s">
        <v>179</v>
      </c>
      <c r="Y21" s="71">
        <v>0.9986294766517547</v>
      </c>
    </row>
    <row r="22" spans="2:25" ht="12.75">
      <c r="B22" s="71" t="s">
        <v>180</v>
      </c>
      <c r="C22" s="71">
        <v>0.9975182965534788</v>
      </c>
      <c r="N22" s="71" t="s">
        <v>180</v>
      </c>
      <c r="O22" s="71">
        <v>0.9962973683904565</v>
      </c>
      <c r="X22" s="71" t="s">
        <v>180</v>
      </c>
      <c r="Y22" s="71">
        <v>0.9972608316377576</v>
      </c>
    </row>
    <row r="23" spans="2:25" ht="12.75">
      <c r="B23" s="71" t="s">
        <v>181</v>
      </c>
      <c r="C23" s="71">
        <v>0.9966910620713051</v>
      </c>
      <c r="N23" s="71" t="s">
        <v>181</v>
      </c>
      <c r="O23" s="71">
        <v>0.995063157853942</v>
      </c>
      <c r="X23" s="71" t="s">
        <v>181</v>
      </c>
      <c r="Y23" s="71">
        <v>0.9963477755170101</v>
      </c>
    </row>
    <row r="24" spans="2:25" ht="12.75">
      <c r="B24" s="71" t="s">
        <v>182</v>
      </c>
      <c r="C24" s="71">
        <v>0.01697485864974653</v>
      </c>
      <c r="N24" s="71" t="s">
        <v>182</v>
      </c>
      <c r="O24" s="71">
        <v>0.0020827898314733566</v>
      </c>
      <c r="X24" s="71" t="s">
        <v>182</v>
      </c>
      <c r="Y24" s="71">
        <v>0.005316635666841366</v>
      </c>
    </row>
    <row r="25" spans="2:25" ht="13.5" thickBot="1">
      <c r="B25" s="72" t="s">
        <v>183</v>
      </c>
      <c r="C25" s="72">
        <v>9</v>
      </c>
      <c r="N25" s="72" t="s">
        <v>183</v>
      </c>
      <c r="O25" s="72">
        <v>9</v>
      </c>
      <c r="X25" s="72" t="s">
        <v>183</v>
      </c>
      <c r="Y25" s="72">
        <v>9</v>
      </c>
    </row>
    <row r="27" spans="2:24" ht="13.5" thickBot="1">
      <c r="B27" t="s">
        <v>184</v>
      </c>
      <c r="N27" t="s">
        <v>184</v>
      </c>
      <c r="X27" t="s">
        <v>184</v>
      </c>
    </row>
    <row r="28" spans="2:29" ht="12.75">
      <c r="B28" s="73"/>
      <c r="C28" s="73" t="s">
        <v>185</v>
      </c>
      <c r="D28" s="73" t="s">
        <v>186</v>
      </c>
      <c r="E28" s="73" t="s">
        <v>187</v>
      </c>
      <c r="F28" s="73" t="s">
        <v>3</v>
      </c>
      <c r="G28" s="73" t="s">
        <v>188</v>
      </c>
      <c r="N28" s="73"/>
      <c r="O28" s="73" t="s">
        <v>185</v>
      </c>
      <c r="P28" s="73" t="s">
        <v>186</v>
      </c>
      <c r="Q28" s="73" t="s">
        <v>187</v>
      </c>
      <c r="R28" s="73" t="s">
        <v>3</v>
      </c>
      <c r="S28" s="73" t="s">
        <v>188</v>
      </c>
      <c r="X28" s="73"/>
      <c r="Y28" s="73" t="s">
        <v>185</v>
      </c>
      <c r="Z28" s="73" t="s">
        <v>186</v>
      </c>
      <c r="AA28" s="73" t="s">
        <v>187</v>
      </c>
      <c r="AB28" s="73" t="s">
        <v>3</v>
      </c>
      <c r="AC28" s="73" t="s">
        <v>188</v>
      </c>
    </row>
    <row r="29" spans="2:29" ht="12.75">
      <c r="B29" s="71" t="s">
        <v>189</v>
      </c>
      <c r="C29" s="71">
        <v>2</v>
      </c>
      <c r="D29" s="71">
        <v>0.6949196144088746</v>
      </c>
      <c r="E29" s="71">
        <v>0.3474598072044373</v>
      </c>
      <c r="F29" s="71">
        <v>1205.8470942027177</v>
      </c>
      <c r="G29" s="71">
        <v>1.5284444226508888E-08</v>
      </c>
      <c r="N29" s="71" t="s">
        <v>189</v>
      </c>
      <c r="O29" s="71">
        <v>2</v>
      </c>
      <c r="P29" s="71">
        <v>0.007003588591056537</v>
      </c>
      <c r="Q29" s="71">
        <v>0.0035017942955282684</v>
      </c>
      <c r="R29" s="71">
        <v>807.2345348825671</v>
      </c>
      <c r="S29" s="71">
        <v>5.076115709457784E-08</v>
      </c>
      <c r="X29" s="71" t="s">
        <v>189</v>
      </c>
      <c r="Y29" s="71">
        <v>2</v>
      </c>
      <c r="Z29" s="71">
        <v>0.06174688971768218</v>
      </c>
      <c r="AA29" s="71">
        <v>0.03087344485884109</v>
      </c>
      <c r="AB29" s="71">
        <v>1092.2229301977366</v>
      </c>
      <c r="AC29" s="71">
        <v>2.0552098873990796E-08</v>
      </c>
    </row>
    <row r="30" spans="2:29" ht="12.75">
      <c r="B30" s="71" t="s">
        <v>190</v>
      </c>
      <c r="C30" s="71">
        <v>6</v>
      </c>
      <c r="D30" s="71">
        <v>0.0017288749570732475</v>
      </c>
      <c r="E30" s="71">
        <v>0.00028814582617887457</v>
      </c>
      <c r="F30" s="71"/>
      <c r="G30" s="71"/>
      <c r="N30" s="71" t="s">
        <v>190</v>
      </c>
      <c r="O30" s="71">
        <v>6</v>
      </c>
      <c r="P30" s="71">
        <v>2.602808089253288E-05</v>
      </c>
      <c r="Q30" s="71">
        <v>4.338013482088813E-06</v>
      </c>
      <c r="R30" s="71"/>
      <c r="S30" s="71"/>
      <c r="X30" s="71" t="s">
        <v>190</v>
      </c>
      <c r="Y30" s="71">
        <v>6</v>
      </c>
      <c r="Z30" s="71">
        <v>0.00016959968888357842</v>
      </c>
      <c r="AA30" s="71">
        <v>2.8266614813929737E-05</v>
      </c>
      <c r="AB30" s="71"/>
      <c r="AC30" s="71"/>
    </row>
    <row r="31" spans="2:29" ht="13.5" thickBot="1">
      <c r="B31" s="72" t="s">
        <v>191</v>
      </c>
      <c r="C31" s="72">
        <v>8</v>
      </c>
      <c r="D31" s="72">
        <v>0.6966484893659479</v>
      </c>
      <c r="E31" s="72"/>
      <c r="F31" s="72"/>
      <c r="G31" s="72"/>
      <c r="N31" s="72" t="s">
        <v>191</v>
      </c>
      <c r="O31" s="72">
        <v>8</v>
      </c>
      <c r="P31" s="72">
        <v>0.00702961667194907</v>
      </c>
      <c r="Q31" s="72"/>
      <c r="R31" s="72"/>
      <c r="S31" s="72"/>
      <c r="X31" s="72" t="s">
        <v>191</v>
      </c>
      <c r="Y31" s="72">
        <v>8</v>
      </c>
      <c r="Z31" s="72">
        <v>0.06191648940656576</v>
      </c>
      <c r="AA31" s="72"/>
      <c r="AB31" s="72"/>
      <c r="AC31" s="72"/>
    </row>
    <row r="32" ht="13.5" thickBot="1"/>
    <row r="33" spans="2:32" ht="12.75">
      <c r="B33" s="73"/>
      <c r="C33" s="73" t="s">
        <v>192</v>
      </c>
      <c r="D33" s="73" t="s">
        <v>182</v>
      </c>
      <c r="E33" s="73" t="s">
        <v>193</v>
      </c>
      <c r="F33" s="73" t="s">
        <v>194</v>
      </c>
      <c r="G33" s="73" t="s">
        <v>195</v>
      </c>
      <c r="H33" s="73" t="s">
        <v>196</v>
      </c>
      <c r="I33" s="73" t="s">
        <v>197</v>
      </c>
      <c r="J33" s="73" t="s">
        <v>198</v>
      </c>
      <c r="K33" s="73" t="s">
        <v>198</v>
      </c>
      <c r="N33" s="73"/>
      <c r="O33" s="73" t="s">
        <v>192</v>
      </c>
      <c r="P33" s="73" t="s">
        <v>182</v>
      </c>
      <c r="Q33" s="73" t="s">
        <v>193</v>
      </c>
      <c r="R33" s="73" t="s">
        <v>194</v>
      </c>
      <c r="S33" s="73" t="s">
        <v>195</v>
      </c>
      <c r="T33" s="73" t="s">
        <v>196</v>
      </c>
      <c r="U33" s="73" t="s">
        <v>197</v>
      </c>
      <c r="V33" s="73" t="s">
        <v>198</v>
      </c>
      <c r="X33" s="73"/>
      <c r="Y33" s="73" t="s">
        <v>192</v>
      </c>
      <c r="Z33" s="73" t="s">
        <v>182</v>
      </c>
      <c r="AA33" s="73" t="s">
        <v>193</v>
      </c>
      <c r="AB33" s="73" t="s">
        <v>194</v>
      </c>
      <c r="AC33" s="73" t="s">
        <v>195</v>
      </c>
      <c r="AD33" s="73" t="s">
        <v>196</v>
      </c>
      <c r="AE33" s="73" t="s">
        <v>197</v>
      </c>
      <c r="AF33" s="73" t="s">
        <v>198</v>
      </c>
    </row>
    <row r="34" spans="2:32" ht="12.75">
      <c r="B34" s="71" t="s">
        <v>199</v>
      </c>
      <c r="C34" s="71">
        <v>1.7595242673946498</v>
      </c>
      <c r="D34" s="71">
        <v>0.023604060406504833</v>
      </c>
      <c r="E34" s="71">
        <v>74.54328776881786</v>
      </c>
      <c r="F34" s="71">
        <v>3.9230350447667925E-10</v>
      </c>
      <c r="G34" s="71">
        <v>1.7017672123620606</v>
      </c>
      <c r="H34" s="71">
        <v>1.817281322427239</v>
      </c>
      <c r="I34" s="71">
        <v>1.7017672123620606</v>
      </c>
      <c r="J34" s="71">
        <v>1.817281322427239</v>
      </c>
      <c r="K34" s="71">
        <v>2.176741631511222</v>
      </c>
      <c r="N34" s="71" t="s">
        <v>199</v>
      </c>
      <c r="O34" s="71">
        <v>0.9240706283717366</v>
      </c>
      <c r="P34" s="71">
        <v>0.0028961829968984884</v>
      </c>
      <c r="Q34" s="71">
        <v>319.06500016101205</v>
      </c>
      <c r="R34" s="71">
        <v>6.396782483922214E-14</v>
      </c>
      <c r="S34" s="71">
        <v>0.9169839238871887</v>
      </c>
      <c r="T34" s="71">
        <v>0.9311573328562844</v>
      </c>
      <c r="U34" s="71">
        <v>0.9169839238871887</v>
      </c>
      <c r="V34" s="71">
        <v>0.9311573328562844</v>
      </c>
      <c r="X34" s="71" t="s">
        <v>199</v>
      </c>
      <c r="Y34" s="71">
        <v>0.7939622198365235</v>
      </c>
      <c r="Z34" s="71">
        <v>0.007392944591110077</v>
      </c>
      <c r="AA34" s="71">
        <v>107.39458547968195</v>
      </c>
      <c r="AB34" s="71">
        <v>4.393559829365575E-11</v>
      </c>
      <c r="AC34" s="71">
        <v>0.7758723361365158</v>
      </c>
      <c r="AD34" s="71">
        <v>0.8120521035365311</v>
      </c>
      <c r="AE34" s="71">
        <v>0.7758723361365158</v>
      </c>
      <c r="AF34" s="71">
        <v>0.8120521035365311</v>
      </c>
    </row>
    <row r="35" spans="2:32" ht="12.75">
      <c r="B35" s="71" t="s">
        <v>200</v>
      </c>
      <c r="C35" s="71">
        <v>-0.27673662632547846</v>
      </c>
      <c r="D35" s="71">
        <v>0.011708579014341709</v>
      </c>
      <c r="E35" s="71">
        <v>-23.6353724893949</v>
      </c>
      <c r="F35" s="71">
        <v>3.7648550319709874E-07</v>
      </c>
      <c r="G35" s="71">
        <v>-0.3053864870205643</v>
      </c>
      <c r="H35" s="71">
        <v>-0.24808676563039264</v>
      </c>
      <c r="I35" s="71">
        <v>-0.3053864870205643</v>
      </c>
      <c r="J35" s="71">
        <v>-0.24808676563039264</v>
      </c>
      <c r="K35" s="71">
        <v>-0.35793999673178734</v>
      </c>
      <c r="N35" s="71" t="s">
        <v>200</v>
      </c>
      <c r="O35" s="71">
        <v>0.027361818502836924</v>
      </c>
      <c r="P35" s="71">
        <v>0.0014366251769900534</v>
      </c>
      <c r="Q35" s="71">
        <v>19.045899334831415</v>
      </c>
      <c r="R35" s="71">
        <v>1.3545303458453903E-06</v>
      </c>
      <c r="S35" s="71">
        <v>0.023846523338376516</v>
      </c>
      <c r="T35" s="71">
        <v>0.030877113667297333</v>
      </c>
      <c r="U35" s="71">
        <v>0.023846523338376516</v>
      </c>
      <c r="V35" s="71">
        <v>0.030877113667297333</v>
      </c>
      <c r="X35" s="71" t="s">
        <v>200</v>
      </c>
      <c r="Y35" s="71">
        <v>0.07354807113234822</v>
      </c>
      <c r="Z35" s="71">
        <v>0.0036672027779512013</v>
      </c>
      <c r="AA35" s="71">
        <v>20.05563247676153</v>
      </c>
      <c r="AB35" s="71">
        <v>9.977056935494207E-07</v>
      </c>
      <c r="AC35" s="71">
        <v>0.06457474921170858</v>
      </c>
      <c r="AD35" s="71">
        <v>0.08252139305298786</v>
      </c>
      <c r="AE35" s="71">
        <v>0.06457474921170858</v>
      </c>
      <c r="AF35" s="71">
        <v>0.08252139305298786</v>
      </c>
    </row>
    <row r="36" spans="2:32" ht="13.5" thickBot="1">
      <c r="B36" s="72" t="s">
        <v>201</v>
      </c>
      <c r="C36" s="72">
        <v>0.017001887084399127</v>
      </c>
      <c r="D36" s="72">
        <v>0.001256105161032543</v>
      </c>
      <c r="E36" s="72">
        <v>13.535401025200185</v>
      </c>
      <c r="F36" s="72">
        <v>1.0086139082444092E-05</v>
      </c>
      <c r="G36" s="72">
        <v>0.013928308485503365</v>
      </c>
      <c r="H36" s="72">
        <v>0.020075465683294887</v>
      </c>
      <c r="I36" s="72">
        <v>0.013928308485503365</v>
      </c>
      <c r="J36" s="72">
        <v>0.020075465683294887</v>
      </c>
      <c r="K36" s="72">
        <v>0.0298818310779472</v>
      </c>
      <c r="N36" s="72" t="s">
        <v>201</v>
      </c>
      <c r="O36" s="72">
        <v>-0.001657478778969352</v>
      </c>
      <c r="P36" s="72">
        <v>0.00015412222927104307</v>
      </c>
      <c r="Q36" s="72">
        <v>-10.754313552358951</v>
      </c>
      <c r="R36" s="72">
        <v>3.820423930194359E-05</v>
      </c>
      <c r="S36" s="72">
        <v>-0.002034602287571281</v>
      </c>
      <c r="T36" s="72">
        <v>-0.0012803552703674228</v>
      </c>
      <c r="U36" s="72">
        <v>-0.002034602287571281</v>
      </c>
      <c r="V36" s="72">
        <v>-0.0012803552703674228</v>
      </c>
      <c r="X36" s="72" t="s">
        <v>201</v>
      </c>
      <c r="Y36" s="72">
        <v>-0.004023853886235827</v>
      </c>
      <c r="Z36" s="72">
        <v>0.0003934202716055521</v>
      </c>
      <c r="AA36" s="72">
        <v>-10.227876336454242</v>
      </c>
      <c r="AB36" s="72">
        <v>5.092903954337876E-05</v>
      </c>
      <c r="AC36" s="72">
        <v>-0.004986518609454216</v>
      </c>
      <c r="AD36" s="72">
        <v>-0.003061189163017438</v>
      </c>
      <c r="AE36" s="72">
        <v>-0.004986518609454216</v>
      </c>
      <c r="AF36" s="72">
        <v>-0.003061189163017438</v>
      </c>
    </row>
    <row r="39" spans="1:12" ht="12.75">
      <c r="A39" s="189"/>
      <c r="B39" s="189"/>
      <c r="C39" s="189"/>
      <c r="D39" s="189"/>
      <c r="E39" s="189"/>
      <c r="F39" s="189"/>
      <c r="G39" s="189"/>
      <c r="H39" s="189"/>
      <c r="I39" s="189"/>
      <c r="J39" s="189"/>
      <c r="K39" s="189"/>
      <c r="L39" s="189"/>
    </row>
    <row r="40" spans="1:12" ht="12.75">
      <c r="A40" s="97"/>
      <c r="B40" s="97"/>
      <c r="C40" s="97"/>
      <c r="D40" s="97"/>
      <c r="E40" s="97"/>
      <c r="F40" s="97"/>
      <c r="G40" s="97"/>
      <c r="H40" s="97"/>
      <c r="I40" s="97"/>
      <c r="J40" s="97"/>
      <c r="K40" s="97"/>
      <c r="L40" s="97"/>
    </row>
    <row r="41" spans="1:12" ht="12.75">
      <c r="A41" s="189"/>
      <c r="B41" s="189"/>
      <c r="C41" s="190"/>
      <c r="D41" s="189"/>
      <c r="E41" s="189"/>
      <c r="F41" s="189"/>
      <c r="G41" s="191"/>
      <c r="H41" s="192"/>
      <c r="I41" s="193"/>
      <c r="J41" s="189"/>
      <c r="K41" s="189"/>
      <c r="L41" s="193"/>
    </row>
    <row r="42" spans="1:12" ht="12.75">
      <c r="A42" s="189"/>
      <c r="B42" s="189"/>
      <c r="C42" s="190"/>
      <c r="D42" s="189"/>
      <c r="E42" s="189"/>
      <c r="F42" s="189"/>
      <c r="G42" s="191"/>
      <c r="H42" s="192"/>
      <c r="I42" s="193"/>
      <c r="J42" s="189"/>
      <c r="K42" s="189"/>
      <c r="L42" s="193"/>
    </row>
    <row r="43" spans="1:12" ht="12.75">
      <c r="A43" s="189"/>
      <c r="B43" s="189"/>
      <c r="C43" s="190"/>
      <c r="D43" s="189"/>
      <c r="E43" s="189"/>
      <c r="F43" s="189"/>
      <c r="G43" s="191"/>
      <c r="H43" s="192"/>
      <c r="I43" s="193"/>
      <c r="J43" s="189"/>
      <c r="K43" s="189"/>
      <c r="L43" s="193"/>
    </row>
    <row r="44" spans="1:12" ht="12.75">
      <c r="A44" s="97"/>
      <c r="B44" s="189"/>
      <c r="C44" s="190"/>
      <c r="D44" s="189"/>
      <c r="E44" s="189"/>
      <c r="F44" s="189"/>
      <c r="G44" s="191"/>
      <c r="H44" s="192"/>
      <c r="I44" s="193"/>
      <c r="J44" s="189"/>
      <c r="K44" s="189"/>
      <c r="L44" s="193"/>
    </row>
    <row r="45" spans="1:12" ht="12.75">
      <c r="A45" s="189"/>
      <c r="B45" s="189"/>
      <c r="C45" s="190"/>
      <c r="D45" s="189"/>
      <c r="E45" s="189"/>
      <c r="F45" s="189"/>
      <c r="G45" s="191"/>
      <c r="H45" s="192"/>
      <c r="I45" s="193"/>
      <c r="J45" s="189"/>
      <c r="K45" s="189"/>
      <c r="L45" s="193"/>
    </row>
    <row r="46" spans="1:12" ht="12.75">
      <c r="A46" s="189"/>
      <c r="B46" s="189"/>
      <c r="C46" s="190"/>
      <c r="D46" s="189"/>
      <c r="E46" s="189"/>
      <c r="F46" s="189"/>
      <c r="G46" s="191"/>
      <c r="H46" s="192"/>
      <c r="I46" s="193"/>
      <c r="J46" s="189"/>
      <c r="K46" s="189"/>
      <c r="L46" s="193"/>
    </row>
    <row r="47" spans="1:12" ht="12.75">
      <c r="A47" s="189"/>
      <c r="B47" s="189"/>
      <c r="C47" s="190"/>
      <c r="D47" s="189"/>
      <c r="E47" s="189"/>
      <c r="F47" s="189"/>
      <c r="G47" s="191"/>
      <c r="H47" s="192"/>
      <c r="I47" s="193"/>
      <c r="J47" s="189"/>
      <c r="K47" s="189"/>
      <c r="L47" s="193"/>
    </row>
    <row r="48" spans="1:12" ht="12.75">
      <c r="A48" s="189"/>
      <c r="B48" s="189"/>
      <c r="C48" s="190"/>
      <c r="D48" s="189"/>
      <c r="E48" s="189"/>
      <c r="F48" s="189"/>
      <c r="G48" s="191"/>
      <c r="H48" s="192"/>
      <c r="I48" s="193"/>
      <c r="J48" s="189"/>
      <c r="K48" s="189"/>
      <c r="L48" s="193"/>
    </row>
    <row r="49" spans="1:12" ht="12.75">
      <c r="A49" s="189"/>
      <c r="B49" s="189"/>
      <c r="C49" s="190"/>
      <c r="D49" s="189"/>
      <c r="E49" s="189"/>
      <c r="F49" s="189"/>
      <c r="G49" s="191"/>
      <c r="H49" s="192"/>
      <c r="I49" s="193"/>
      <c r="J49" s="189"/>
      <c r="K49" s="189"/>
      <c r="L49" s="193"/>
    </row>
    <row r="50" spans="1:12" ht="12.75">
      <c r="A50" s="189"/>
      <c r="B50" s="189"/>
      <c r="C50" s="189"/>
      <c r="D50" s="189"/>
      <c r="E50" s="189"/>
      <c r="F50" s="189"/>
      <c r="G50" s="189"/>
      <c r="H50" s="189"/>
      <c r="I50" s="189"/>
      <c r="J50" s="189"/>
      <c r="K50" s="189"/>
      <c r="L50" s="189"/>
    </row>
    <row r="51" spans="1:12" ht="12.75">
      <c r="A51" s="189"/>
      <c r="B51" s="189"/>
      <c r="C51" s="189"/>
      <c r="D51" s="189"/>
      <c r="E51" s="189"/>
      <c r="F51" s="189"/>
      <c r="G51" s="189"/>
      <c r="H51" s="189"/>
      <c r="I51" s="189"/>
      <c r="J51" s="189"/>
      <c r="K51" s="189"/>
      <c r="L51" s="189"/>
    </row>
    <row r="52" spans="1:12" ht="12.75">
      <c r="A52" s="189"/>
      <c r="B52" s="189"/>
      <c r="C52" s="189"/>
      <c r="D52" s="189"/>
      <c r="E52" s="189"/>
      <c r="F52" s="189"/>
      <c r="G52" s="189"/>
      <c r="H52" s="189"/>
      <c r="I52" s="189"/>
      <c r="J52" s="189"/>
      <c r="K52" s="189"/>
      <c r="L52" s="189"/>
    </row>
    <row r="53" spans="1:12" ht="12.75">
      <c r="A53" s="189"/>
      <c r="B53" s="189"/>
      <c r="C53" s="189"/>
      <c r="D53" s="189"/>
      <c r="E53" s="189"/>
      <c r="F53" s="189"/>
      <c r="G53" s="189"/>
      <c r="H53" s="189"/>
      <c r="I53" s="189"/>
      <c r="J53" s="189"/>
      <c r="K53" s="189"/>
      <c r="L53" s="189"/>
    </row>
    <row r="54" spans="1:12" ht="12.75">
      <c r="A54" s="189"/>
      <c r="B54" s="189"/>
      <c r="C54" s="189"/>
      <c r="D54" s="189"/>
      <c r="E54" s="189"/>
      <c r="F54" s="189"/>
      <c r="G54" s="189"/>
      <c r="H54" s="189"/>
      <c r="I54" s="189"/>
      <c r="J54" s="189"/>
      <c r="K54" s="189"/>
      <c r="L54" s="189"/>
    </row>
    <row r="55" spans="1:12" ht="12.75">
      <c r="A55" s="189"/>
      <c r="B55" s="189"/>
      <c r="C55" s="189"/>
      <c r="D55" s="189"/>
      <c r="E55" s="189"/>
      <c r="F55" s="189"/>
      <c r="G55" s="189"/>
      <c r="H55" s="189"/>
      <c r="I55" s="189"/>
      <c r="J55" s="189"/>
      <c r="K55" s="189"/>
      <c r="L55" s="189"/>
    </row>
    <row r="56" spans="1:12" ht="12.75">
      <c r="A56" s="189"/>
      <c r="B56" s="189"/>
      <c r="C56" s="189"/>
      <c r="D56" s="189"/>
      <c r="E56" s="189"/>
      <c r="F56" s="189"/>
      <c r="G56" s="189"/>
      <c r="H56" s="189"/>
      <c r="I56" s="189"/>
      <c r="J56" s="189"/>
      <c r="K56" s="189"/>
      <c r="L56" s="189"/>
    </row>
    <row r="57" spans="1:12" ht="12.75">
      <c r="A57" s="189"/>
      <c r="B57" s="185"/>
      <c r="C57" s="185"/>
      <c r="D57" s="189"/>
      <c r="E57" s="189"/>
      <c r="F57" s="189"/>
      <c r="G57" s="189"/>
      <c r="H57" s="189"/>
      <c r="I57" s="189"/>
      <c r="J57" s="189"/>
      <c r="K57" s="189"/>
      <c r="L57" s="189"/>
    </row>
    <row r="58" spans="1:12" ht="12.75">
      <c r="A58" s="189"/>
      <c r="B58" s="71"/>
      <c r="C58" s="71"/>
      <c r="D58" s="189"/>
      <c r="E58" s="189"/>
      <c r="F58" s="189"/>
      <c r="G58" s="189"/>
      <c r="H58" s="189"/>
      <c r="I58" s="189"/>
      <c r="J58" s="189"/>
      <c r="K58" s="189"/>
      <c r="L58" s="189"/>
    </row>
    <row r="59" spans="1:12" ht="12.75">
      <c r="A59" s="189"/>
      <c r="B59" s="71"/>
      <c r="C59" s="71"/>
      <c r="D59" s="189"/>
      <c r="E59" s="189"/>
      <c r="F59" s="189"/>
      <c r="G59" s="189"/>
      <c r="H59" s="189"/>
      <c r="I59" s="189"/>
      <c r="J59" s="189"/>
      <c r="K59" s="189"/>
      <c r="L59" s="189"/>
    </row>
    <row r="60" spans="1:12" ht="12.75">
      <c r="A60" s="189"/>
      <c r="B60" s="71"/>
      <c r="C60" s="71"/>
      <c r="D60" s="189"/>
      <c r="E60" s="189"/>
      <c r="F60" s="189"/>
      <c r="G60" s="189"/>
      <c r="H60" s="189"/>
      <c r="I60" s="189"/>
      <c r="J60" s="189"/>
      <c r="K60" s="189"/>
      <c r="L60" s="189"/>
    </row>
    <row r="61" spans="1:12" ht="12.75">
      <c r="A61" s="189"/>
      <c r="B61" s="71"/>
      <c r="C61" s="71"/>
      <c r="D61" s="189"/>
      <c r="E61" s="189"/>
      <c r="F61" s="189"/>
      <c r="G61" s="189"/>
      <c r="H61" s="189"/>
      <c r="I61" s="189"/>
      <c r="J61" s="189"/>
      <c r="K61" s="189"/>
      <c r="L61" s="189"/>
    </row>
    <row r="62" spans="1:12" ht="12.75">
      <c r="A62" s="189"/>
      <c r="B62" s="71"/>
      <c r="C62" s="71"/>
      <c r="D62" s="189"/>
      <c r="E62" s="189"/>
      <c r="F62" s="189"/>
      <c r="G62" s="189"/>
      <c r="H62" s="189"/>
      <c r="I62" s="189"/>
      <c r="J62" s="189"/>
      <c r="K62" s="189"/>
      <c r="L62" s="189"/>
    </row>
    <row r="63" spans="1:12" ht="12.75">
      <c r="A63" s="189"/>
      <c r="B63" s="189"/>
      <c r="C63" s="189"/>
      <c r="D63" s="189"/>
      <c r="E63" s="189"/>
      <c r="F63" s="189"/>
      <c r="G63" s="189"/>
      <c r="H63" s="189"/>
      <c r="I63" s="189"/>
      <c r="J63" s="189"/>
      <c r="K63" s="189"/>
      <c r="L63" s="189"/>
    </row>
    <row r="64" spans="1:12" ht="12.75">
      <c r="A64" s="189"/>
      <c r="B64" s="189"/>
      <c r="C64" s="189"/>
      <c r="D64" s="189"/>
      <c r="E64" s="189"/>
      <c r="F64" s="189"/>
      <c r="G64" s="189"/>
      <c r="H64" s="189"/>
      <c r="I64" s="189"/>
      <c r="J64" s="189"/>
      <c r="K64" s="189"/>
      <c r="L64" s="189"/>
    </row>
    <row r="65" spans="1:12" ht="12.75">
      <c r="A65" s="189"/>
      <c r="B65" s="186"/>
      <c r="C65" s="186"/>
      <c r="D65" s="186"/>
      <c r="E65" s="186"/>
      <c r="F65" s="186"/>
      <c r="G65" s="186"/>
      <c r="H65" s="189"/>
      <c r="I65" s="189"/>
      <c r="J65" s="189"/>
      <c r="K65" s="189"/>
      <c r="L65" s="189"/>
    </row>
    <row r="66" spans="1:12" ht="12.75">
      <c r="A66" s="189"/>
      <c r="B66" s="71"/>
      <c r="C66" s="71"/>
      <c r="D66" s="71"/>
      <c r="E66" s="71"/>
      <c r="F66" s="71"/>
      <c r="G66" s="71"/>
      <c r="H66" s="189"/>
      <c r="I66" s="189"/>
      <c r="J66" s="189"/>
      <c r="K66" s="189"/>
      <c r="L66" s="189"/>
    </row>
    <row r="67" spans="1:12" ht="12.75">
      <c r="A67" s="189"/>
      <c r="B67" s="71"/>
      <c r="C67" s="71"/>
      <c r="D67" s="71"/>
      <c r="E67" s="71"/>
      <c r="F67" s="71"/>
      <c r="G67" s="71"/>
      <c r="H67" s="189"/>
      <c r="I67" s="189"/>
      <c r="J67" s="189"/>
      <c r="K67" s="189"/>
      <c r="L67" s="189"/>
    </row>
    <row r="68" spans="1:12" ht="12.75">
      <c r="A68" s="189"/>
      <c r="B68" s="71"/>
      <c r="C68" s="71"/>
      <c r="D68" s="71"/>
      <c r="E68" s="71"/>
      <c r="F68" s="71"/>
      <c r="G68" s="71"/>
      <c r="H68" s="189"/>
      <c r="I68" s="189"/>
      <c r="J68" s="189"/>
      <c r="K68" s="189"/>
      <c r="L68" s="189"/>
    </row>
    <row r="69" spans="1:12" ht="12.75">
      <c r="A69" s="189"/>
      <c r="B69" s="189"/>
      <c r="C69" s="189"/>
      <c r="D69" s="189"/>
      <c r="E69" s="189"/>
      <c r="F69" s="189"/>
      <c r="G69" s="189"/>
      <c r="H69" s="189"/>
      <c r="I69" s="189"/>
      <c r="J69" s="189"/>
      <c r="K69" s="189"/>
      <c r="L69" s="189"/>
    </row>
    <row r="70" spans="1:12" ht="12.75">
      <c r="A70" s="189"/>
      <c r="B70" s="186"/>
      <c r="C70" s="186"/>
      <c r="D70" s="186"/>
      <c r="E70" s="186"/>
      <c r="F70" s="186"/>
      <c r="G70" s="186"/>
      <c r="H70" s="186"/>
      <c r="I70" s="186"/>
      <c r="J70" s="186"/>
      <c r="K70" s="189"/>
      <c r="L70" s="189"/>
    </row>
    <row r="71" spans="1:12" ht="12.75">
      <c r="A71" s="189"/>
      <c r="B71" s="71"/>
      <c r="C71" s="71"/>
      <c r="D71" s="71"/>
      <c r="E71" s="71"/>
      <c r="F71" s="71"/>
      <c r="G71" s="71"/>
      <c r="H71" s="71"/>
      <c r="I71" s="71"/>
      <c r="J71" s="71"/>
      <c r="K71" s="189"/>
      <c r="L71" s="189"/>
    </row>
    <row r="72" spans="1:12" ht="12.75">
      <c r="A72" s="189"/>
      <c r="B72" s="71"/>
      <c r="C72" s="71"/>
      <c r="D72" s="71"/>
      <c r="E72" s="71"/>
      <c r="F72" s="71"/>
      <c r="G72" s="71"/>
      <c r="H72" s="71"/>
      <c r="I72" s="71"/>
      <c r="J72" s="71"/>
      <c r="K72" s="189"/>
      <c r="L72" s="189"/>
    </row>
    <row r="73" spans="1:12" ht="12.75">
      <c r="A73" s="189"/>
      <c r="B73" s="71"/>
      <c r="C73" s="71"/>
      <c r="D73" s="71"/>
      <c r="E73" s="71"/>
      <c r="F73" s="71"/>
      <c r="G73" s="71"/>
      <c r="H73" s="71"/>
      <c r="I73" s="71"/>
      <c r="J73" s="71"/>
      <c r="K73" s="189"/>
      <c r="L73" s="189"/>
    </row>
  </sheetData>
  <sheetProtection password="DC79" sheet="1" objects="1" scenarios="1"/>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F73"/>
  <sheetViews>
    <sheetView workbookViewId="0" topLeftCell="A1">
      <selection activeCell="A2" sqref="A2"/>
    </sheetView>
  </sheetViews>
  <sheetFormatPr defaultColWidth="9.140625" defaultRowHeight="12.75"/>
  <cols>
    <col min="1" max="1" width="7.140625" style="0" customWidth="1"/>
    <col min="3" max="3" width="8.00390625" style="0" customWidth="1"/>
    <col min="10" max="10" width="9.00390625" style="0" customWidth="1"/>
    <col min="13" max="13" width="3.57421875" style="0" customWidth="1"/>
    <col min="17" max="17" width="3.421875" style="0" customWidth="1"/>
  </cols>
  <sheetData>
    <row r="1" ht="12.75">
      <c r="A1" t="s">
        <v>165</v>
      </c>
    </row>
    <row r="2" spans="1:18" ht="12.75">
      <c r="A2" t="s">
        <v>166</v>
      </c>
      <c r="N2" t="s">
        <v>254</v>
      </c>
      <c r="R2" t="s">
        <v>253</v>
      </c>
    </row>
    <row r="3" spans="1:21" ht="12.75">
      <c r="A3" s="1" t="s">
        <v>167</v>
      </c>
      <c r="B3" s="1" t="s">
        <v>4</v>
      </c>
      <c r="C3" s="1" t="s">
        <v>250</v>
      </c>
      <c r="D3" s="1" t="s">
        <v>168</v>
      </c>
      <c r="E3" s="1" t="s">
        <v>169</v>
      </c>
      <c r="F3" s="1" t="s">
        <v>170</v>
      </c>
      <c r="G3" s="1" t="s">
        <v>171</v>
      </c>
      <c r="H3" s="1" t="s">
        <v>172</v>
      </c>
      <c r="I3" s="1" t="s">
        <v>173</v>
      </c>
      <c r="J3" s="1" t="s">
        <v>167</v>
      </c>
      <c r="K3" s="1" t="s">
        <v>174</v>
      </c>
      <c r="L3" s="1" t="s">
        <v>175</v>
      </c>
      <c r="N3" s="1" t="s">
        <v>307</v>
      </c>
      <c r="O3" s="1" t="s">
        <v>259</v>
      </c>
      <c r="P3" s="1" t="s">
        <v>175</v>
      </c>
      <c r="R3" s="1" t="s">
        <v>255</v>
      </c>
      <c r="S3" s="1" t="s">
        <v>256</v>
      </c>
      <c r="T3" s="1" t="s">
        <v>257</v>
      </c>
      <c r="U3" s="1" t="s">
        <v>175</v>
      </c>
    </row>
    <row r="4" spans="1:21" ht="12.75">
      <c r="A4">
        <v>1</v>
      </c>
      <c r="B4">
        <f aca="true" t="shared" si="0" ref="B4:B12">30+A4*10</f>
        <v>40</v>
      </c>
      <c r="C4" s="2">
        <f>(B4*Calculator!$C$13*Calculator!$C$14*(Calculator!$C$15-'T-mains'!$N$8))*365/10^3/3.412</f>
        <v>1511.953128663541</v>
      </c>
      <c r="D4">
        <v>1738</v>
      </c>
      <c r="E4">
        <v>148</v>
      </c>
      <c r="F4">
        <f aca="true" t="shared" si="1" ref="F4:F12">D4-E4</f>
        <v>1590</v>
      </c>
      <c r="G4" s="34">
        <f aca="true" t="shared" si="2" ref="G4:G12">F4/D4</f>
        <v>0.9148446490218642</v>
      </c>
      <c r="H4" s="64">
        <f aca="true" t="shared" si="3" ref="H4:H12">C4/E4</f>
        <v>10.215899517996899</v>
      </c>
      <c r="I4" s="43">
        <f aca="true" t="shared" si="4" ref="I4:I12">H4/$H$7</f>
        <v>1.6476818965154885</v>
      </c>
      <c r="J4">
        <f aca="true" t="shared" si="5" ref="J4:J12">A4</f>
        <v>1</v>
      </c>
      <c r="K4">
        <f aca="true" t="shared" si="6" ref="K4:K12">J4^2</f>
        <v>1</v>
      </c>
      <c r="L4" s="43">
        <f>1.96-0.35*J4+0.0211*J4^2</f>
        <v>1.6310999999999998</v>
      </c>
      <c r="N4" s="79">
        <f aca="true" t="shared" si="7" ref="N4:N11">C4/D4</f>
        <v>0.8699385090123942</v>
      </c>
      <c r="O4" s="79">
        <f aca="true" t="shared" si="8" ref="O4:O12">N4/$N$7</f>
        <v>0.9449376931708563</v>
      </c>
      <c r="P4" s="79">
        <f>0.92+0.0286*J4-0.00172*J4^2</f>
        <v>0.9468799999999999</v>
      </c>
      <c r="R4">
        <v>107</v>
      </c>
      <c r="S4" s="79">
        <f aca="true" t="shared" si="9" ref="S4:S12">C4/(R4/10*293)</f>
        <v>0.4822663164376068</v>
      </c>
      <c r="T4" s="79">
        <f aca="true" t="shared" si="10" ref="T4:T12">S4/$S$7</f>
        <v>0.8488248717315152</v>
      </c>
      <c r="U4" s="79">
        <f aca="true" t="shared" si="11" ref="U4:U12">0.782+0.0767*J4-0.0042*J4^2</f>
        <v>0.8545</v>
      </c>
    </row>
    <row r="5" spans="1:21" ht="12.75">
      <c r="A5">
        <v>2</v>
      </c>
      <c r="B5">
        <f t="shared" si="0"/>
        <v>50</v>
      </c>
      <c r="C5" s="2">
        <f>(B5*Calculator!$C$13*Calculator!$C$14*(Calculator!$C$15-'T-mains'!$N$8))*365/10^3/3.412</f>
        <v>1889.9414108294268</v>
      </c>
      <c r="D5">
        <v>2111</v>
      </c>
      <c r="E5">
        <v>228</v>
      </c>
      <c r="F5">
        <f t="shared" si="1"/>
        <v>1883</v>
      </c>
      <c r="G5" s="34">
        <f t="shared" si="2"/>
        <v>0.891994315490289</v>
      </c>
      <c r="H5" s="64">
        <f t="shared" si="3"/>
        <v>8.289216714164153</v>
      </c>
      <c r="I5" s="43">
        <f t="shared" si="4"/>
        <v>1.3369348721726557</v>
      </c>
      <c r="J5">
        <f t="shared" si="5"/>
        <v>2</v>
      </c>
      <c r="K5">
        <f t="shared" si="6"/>
        <v>4</v>
      </c>
      <c r="L5" s="43">
        <f aca="true" t="shared" si="12" ref="L5:L12">1.96-0.35*J5+0.0211*J5^2</f>
        <v>1.3444</v>
      </c>
      <c r="N5" s="79">
        <f t="shared" si="7"/>
        <v>0.8952825252626371</v>
      </c>
      <c r="O5" s="79">
        <f t="shared" si="8"/>
        <v>0.9724666690732761</v>
      </c>
      <c r="P5" s="79">
        <f aca="true" t="shared" si="13" ref="P5:P12">0.92+0.0286*J5-0.00172*J5^2</f>
        <v>0.9703200000000001</v>
      </c>
      <c r="R5">
        <v>123</v>
      </c>
      <c r="S5" s="79">
        <f t="shared" si="9"/>
        <v>0.5244156083213815</v>
      </c>
      <c r="T5" s="79">
        <f t="shared" si="10"/>
        <v>0.9230107853178063</v>
      </c>
      <c r="U5" s="79">
        <f t="shared" si="11"/>
        <v>0.9186</v>
      </c>
    </row>
    <row r="6" spans="1:21" ht="12.75">
      <c r="A6">
        <v>3</v>
      </c>
      <c r="B6">
        <f t="shared" si="0"/>
        <v>60</v>
      </c>
      <c r="C6" s="2">
        <f>(B6*Calculator!$C$13*Calculator!$C$14*(Calculator!$C$15-'T-mains'!$N$8))*365/10^3/3.412</f>
        <v>2267.929692995312</v>
      </c>
      <c r="D6">
        <v>2482</v>
      </c>
      <c r="E6">
        <v>336</v>
      </c>
      <c r="F6">
        <f t="shared" si="1"/>
        <v>2146</v>
      </c>
      <c r="G6" s="34">
        <f t="shared" si="2"/>
        <v>0.8646253021756648</v>
      </c>
      <c r="H6" s="64">
        <f t="shared" si="3"/>
        <v>6.749790752962238</v>
      </c>
      <c r="I6" s="43">
        <f t="shared" si="4"/>
        <v>1.088646967340591</v>
      </c>
      <c r="J6">
        <f t="shared" si="5"/>
        <v>3</v>
      </c>
      <c r="K6">
        <f t="shared" si="6"/>
        <v>9</v>
      </c>
      <c r="L6" s="43">
        <f t="shared" si="12"/>
        <v>1.0999</v>
      </c>
      <c r="N6" s="79">
        <f t="shared" si="7"/>
        <v>0.9137508835597551</v>
      </c>
      <c r="O6" s="79">
        <f t="shared" si="8"/>
        <v>0.9925272224401381</v>
      </c>
      <c r="P6" s="79">
        <f t="shared" si="13"/>
        <v>0.99032</v>
      </c>
      <c r="R6">
        <v>139</v>
      </c>
      <c r="S6" s="79">
        <f t="shared" si="9"/>
        <v>0.5568614661024166</v>
      </c>
      <c r="T6" s="79">
        <f t="shared" si="10"/>
        <v>0.9801179274309944</v>
      </c>
      <c r="U6" s="79">
        <f t="shared" si="11"/>
        <v>0.9742999999999999</v>
      </c>
    </row>
    <row r="7" spans="1:24" ht="12.75">
      <c r="A7" s="65">
        <v>3.43</v>
      </c>
      <c r="B7" s="66">
        <f t="shared" si="0"/>
        <v>64.30000000000001</v>
      </c>
      <c r="C7" s="179">
        <f>(B7*Calculator!$C$13*Calculator!$C$14*(Calculator!$C$15-'T-mains'!$N$8))*365/10^3/3.412</f>
        <v>2430.464654326643</v>
      </c>
      <c r="D7" s="66">
        <v>2640</v>
      </c>
      <c r="E7" s="66">
        <v>392</v>
      </c>
      <c r="F7" s="66">
        <f t="shared" si="1"/>
        <v>2248</v>
      </c>
      <c r="G7" s="67">
        <f t="shared" si="2"/>
        <v>0.8515151515151516</v>
      </c>
      <c r="H7" s="68">
        <f t="shared" si="3"/>
        <v>6.200164934506742</v>
      </c>
      <c r="I7" s="69">
        <f t="shared" si="4"/>
        <v>1</v>
      </c>
      <c r="J7" s="66">
        <f t="shared" si="5"/>
        <v>3.43</v>
      </c>
      <c r="K7" s="66">
        <f t="shared" si="6"/>
        <v>11.7649</v>
      </c>
      <c r="L7" s="69">
        <f t="shared" si="12"/>
        <v>1.00773939</v>
      </c>
      <c r="M7" s="77"/>
      <c r="N7" s="95">
        <f t="shared" si="7"/>
        <v>0.9206305508813042</v>
      </c>
      <c r="O7" s="95">
        <f t="shared" si="8"/>
        <v>1</v>
      </c>
      <c r="P7" s="95">
        <f t="shared" si="13"/>
        <v>0.9978623719999999</v>
      </c>
      <c r="Q7" s="66"/>
      <c r="R7" s="66">
        <v>146</v>
      </c>
      <c r="S7" s="95">
        <f t="shared" si="9"/>
        <v>0.56815761707575</v>
      </c>
      <c r="T7" s="95">
        <f t="shared" si="10"/>
        <v>1</v>
      </c>
      <c r="U7" s="95">
        <f t="shared" si="11"/>
        <v>0.9956684200000001</v>
      </c>
      <c r="V7" s="180" t="s">
        <v>251</v>
      </c>
      <c r="W7" s="66"/>
      <c r="X7" s="66"/>
    </row>
    <row r="8" spans="1:21" ht="12.75">
      <c r="A8">
        <v>4</v>
      </c>
      <c r="B8">
        <f t="shared" si="0"/>
        <v>70</v>
      </c>
      <c r="C8" s="2">
        <f>(B8*Calculator!$C$13*Calculator!$C$14*(Calculator!$C$15-'T-mains'!$N$8))*365/10^3/3.412</f>
        <v>2645.9179751611973</v>
      </c>
      <c r="D8">
        <v>2852</v>
      </c>
      <c r="E8">
        <v>475</v>
      </c>
      <c r="F8">
        <f t="shared" si="1"/>
        <v>2377</v>
      </c>
      <c r="G8" s="34">
        <f t="shared" si="2"/>
        <v>0.8334502103786816</v>
      </c>
      <c r="H8" s="64">
        <f t="shared" si="3"/>
        <v>5.5703536319183105</v>
      </c>
      <c r="I8" s="43">
        <f t="shared" si="4"/>
        <v>0.8984202341000245</v>
      </c>
      <c r="J8">
        <f t="shared" si="5"/>
        <v>4</v>
      </c>
      <c r="K8">
        <f t="shared" si="6"/>
        <v>16</v>
      </c>
      <c r="L8" s="43">
        <f t="shared" si="12"/>
        <v>0.8976000000000001</v>
      </c>
      <c r="N8" s="79">
        <f t="shared" si="7"/>
        <v>0.9277412255123413</v>
      </c>
      <c r="O8" s="79">
        <f t="shared" si="8"/>
        <v>1.0077237004835764</v>
      </c>
      <c r="P8" s="79">
        <f t="shared" si="13"/>
        <v>1.00688</v>
      </c>
      <c r="R8">
        <v>155</v>
      </c>
      <c r="S8" s="79">
        <f t="shared" si="9"/>
        <v>0.5826088242125284</v>
      </c>
      <c r="T8" s="79">
        <f t="shared" si="10"/>
        <v>1.0254352079466211</v>
      </c>
      <c r="U8" s="79">
        <f t="shared" si="11"/>
        <v>1.0216</v>
      </c>
    </row>
    <row r="9" spans="1:21" ht="12.75">
      <c r="A9">
        <v>5</v>
      </c>
      <c r="B9">
        <f t="shared" si="0"/>
        <v>80</v>
      </c>
      <c r="C9" s="2">
        <f>(B9*Calculator!$C$13*Calculator!$C$14*(Calculator!$C$15-'T-mains'!$N$8))*365/10^3/3.412</f>
        <v>3023.906257327082</v>
      </c>
      <c r="D9">
        <v>3225</v>
      </c>
      <c r="E9">
        <v>647</v>
      </c>
      <c r="F9">
        <f t="shared" si="1"/>
        <v>2578</v>
      </c>
      <c r="G9" s="34">
        <f t="shared" si="2"/>
        <v>0.7993798449612403</v>
      </c>
      <c r="H9" s="64">
        <f t="shared" si="3"/>
        <v>4.673734555374161</v>
      </c>
      <c r="I9" s="43">
        <f t="shared" si="4"/>
        <v>0.7538081010333612</v>
      </c>
      <c r="J9">
        <f t="shared" si="5"/>
        <v>5</v>
      </c>
      <c r="K9">
        <f t="shared" si="6"/>
        <v>25</v>
      </c>
      <c r="L9" s="43">
        <f t="shared" si="12"/>
        <v>0.7374999999999999</v>
      </c>
      <c r="N9" s="79">
        <f t="shared" si="7"/>
        <v>0.9376453511091728</v>
      </c>
      <c r="O9" s="79">
        <f t="shared" si="8"/>
        <v>1.0184816810734563</v>
      </c>
      <c r="P9" s="79">
        <f t="shared" si="13"/>
        <v>1.0200000000000002</v>
      </c>
      <c r="R9">
        <v>172</v>
      </c>
      <c r="S9" s="79">
        <f t="shared" si="9"/>
        <v>0.6000290216142318</v>
      </c>
      <c r="T9" s="79">
        <f t="shared" si="10"/>
        <v>1.0560960613403736</v>
      </c>
      <c r="U9" s="79">
        <f t="shared" si="11"/>
        <v>1.0605</v>
      </c>
    </row>
    <row r="10" spans="1:21" ht="12.75">
      <c r="A10">
        <v>6</v>
      </c>
      <c r="B10">
        <f t="shared" si="0"/>
        <v>90</v>
      </c>
      <c r="C10" s="2">
        <f>(B10*Calculator!$C$13*Calculator!$C$14*(Calculator!$C$15-'T-mains'!$N$8))*365/10^3/3.412</f>
        <v>3401.8945394929683</v>
      </c>
      <c r="D10">
        <v>3595</v>
      </c>
      <c r="E10">
        <v>848</v>
      </c>
      <c r="F10">
        <f t="shared" si="1"/>
        <v>2747</v>
      </c>
      <c r="G10" s="34">
        <f t="shared" si="2"/>
        <v>0.7641168289290682</v>
      </c>
      <c r="H10" s="64">
        <f t="shared" si="3"/>
        <v>4.0116680890247265</v>
      </c>
      <c r="I10" s="43">
        <f t="shared" si="4"/>
        <v>0.6470260277590304</v>
      </c>
      <c r="J10">
        <f t="shared" si="5"/>
        <v>6</v>
      </c>
      <c r="K10">
        <f t="shared" si="6"/>
        <v>36</v>
      </c>
      <c r="L10" s="43">
        <f t="shared" si="12"/>
        <v>0.6196000000000004</v>
      </c>
      <c r="N10" s="79">
        <f t="shared" si="7"/>
        <v>0.9462849901232179</v>
      </c>
      <c r="O10" s="79">
        <f t="shared" si="8"/>
        <v>1.0278661610972557</v>
      </c>
      <c r="P10" s="79">
        <f t="shared" si="13"/>
        <v>1.0296800000000002</v>
      </c>
      <c r="R10">
        <v>188</v>
      </c>
      <c r="S10" s="79">
        <f t="shared" si="9"/>
        <v>0.6175830621401801</v>
      </c>
      <c r="T10" s="79">
        <f t="shared" si="10"/>
        <v>1.086992488666821</v>
      </c>
      <c r="U10" s="79">
        <f t="shared" si="11"/>
        <v>1.091</v>
      </c>
    </row>
    <row r="11" spans="1:21" ht="12.75">
      <c r="A11">
        <v>7</v>
      </c>
      <c r="B11">
        <f t="shared" si="0"/>
        <v>100</v>
      </c>
      <c r="C11" s="2">
        <f>(B11*Calculator!$C$13*Calculator!$C$14*(Calculator!$C$15-'T-mains'!$N$8))*365/10^3/3.412</f>
        <v>3779.8828216588536</v>
      </c>
      <c r="D11">
        <v>3965</v>
      </c>
      <c r="E11">
        <v>1075</v>
      </c>
      <c r="F11">
        <f t="shared" si="1"/>
        <v>2890</v>
      </c>
      <c r="G11" s="34">
        <f t="shared" si="2"/>
        <v>0.7288776796973518</v>
      </c>
      <c r="H11" s="64">
        <f t="shared" si="3"/>
        <v>3.5161700666593987</v>
      </c>
      <c r="I11" s="43">
        <f t="shared" si="4"/>
        <v>0.5671091178704474</v>
      </c>
      <c r="J11">
        <f t="shared" si="5"/>
        <v>7</v>
      </c>
      <c r="K11">
        <f t="shared" si="6"/>
        <v>49</v>
      </c>
      <c r="L11" s="43">
        <f t="shared" si="12"/>
        <v>0.5439000000000003</v>
      </c>
      <c r="N11" s="79">
        <f t="shared" si="7"/>
        <v>0.9533121870514133</v>
      </c>
      <c r="O11" s="79">
        <f t="shared" si="8"/>
        <v>1.0354991870939145</v>
      </c>
      <c r="P11" s="79">
        <f t="shared" si="13"/>
        <v>1.0359200000000002</v>
      </c>
      <c r="R11">
        <v>204</v>
      </c>
      <c r="S11" s="79">
        <f t="shared" si="9"/>
        <v>0.632383527681666</v>
      </c>
      <c r="T11" s="79">
        <f t="shared" si="10"/>
        <v>1.1130424175891196</v>
      </c>
      <c r="U11" s="79">
        <f t="shared" si="11"/>
        <v>1.1131000000000002</v>
      </c>
    </row>
    <row r="12" spans="1:21" ht="12.75">
      <c r="A12">
        <v>8</v>
      </c>
      <c r="B12">
        <f t="shared" si="0"/>
        <v>110</v>
      </c>
      <c r="C12" s="2">
        <f>(B12*Calculator!$C$13*Calculator!$C$14*(Calculator!$C$15-'T-mains'!$N$8))*365/10^3/3.412</f>
        <v>4157.871103824739</v>
      </c>
      <c r="D12">
        <v>4338</v>
      </c>
      <c r="E12">
        <v>1327</v>
      </c>
      <c r="F12">
        <f t="shared" si="1"/>
        <v>3011</v>
      </c>
      <c r="G12" s="34">
        <f t="shared" si="2"/>
        <v>0.694098662978331</v>
      </c>
      <c r="H12" s="64">
        <f t="shared" si="3"/>
        <v>3.1332864384511976</v>
      </c>
      <c r="I12" s="43">
        <f t="shared" si="4"/>
        <v>0.5053553367609677</v>
      </c>
      <c r="J12">
        <f t="shared" si="5"/>
        <v>8</v>
      </c>
      <c r="K12">
        <f t="shared" si="6"/>
        <v>64</v>
      </c>
      <c r="L12" s="43">
        <f t="shared" si="12"/>
        <v>0.5104000000000002</v>
      </c>
      <c r="N12" s="79">
        <f>C12/D12</f>
        <v>0.9584765107940847</v>
      </c>
      <c r="O12" s="79">
        <f t="shared" si="8"/>
        <v>1.0411087377847186</v>
      </c>
      <c r="P12" s="79">
        <f t="shared" si="13"/>
        <v>1.03872</v>
      </c>
      <c r="R12">
        <v>220</v>
      </c>
      <c r="S12" s="79">
        <f t="shared" si="9"/>
        <v>0.6450311982352993</v>
      </c>
      <c r="T12" s="79">
        <f t="shared" si="10"/>
        <v>1.135303265940902</v>
      </c>
      <c r="U12" s="79">
        <f t="shared" si="11"/>
        <v>1.1268</v>
      </c>
    </row>
    <row r="14" spans="1:18" ht="12.75">
      <c r="A14" t="s">
        <v>176</v>
      </c>
      <c r="R14" t="s">
        <v>306</v>
      </c>
    </row>
    <row r="15" ht="12.75">
      <c r="A15" t="s">
        <v>202</v>
      </c>
    </row>
    <row r="17" spans="2:24" ht="12.75">
      <c r="B17" t="s">
        <v>294</v>
      </c>
      <c r="N17" t="s">
        <v>291</v>
      </c>
      <c r="X17" t="s">
        <v>260</v>
      </c>
    </row>
    <row r="18" spans="2:24" ht="12.75">
      <c r="B18" t="s">
        <v>177</v>
      </c>
      <c r="N18" t="s">
        <v>177</v>
      </c>
      <c r="X18" t="s">
        <v>177</v>
      </c>
    </row>
    <row r="19" ht="13.5" thickBot="1"/>
    <row r="20" spans="2:25" ht="12.75">
      <c r="B20" s="70" t="s">
        <v>178</v>
      </c>
      <c r="C20" s="70"/>
      <c r="N20" s="70" t="s">
        <v>178</v>
      </c>
      <c r="O20" s="70"/>
      <c r="X20" s="70" t="s">
        <v>178</v>
      </c>
      <c r="Y20" s="70"/>
    </row>
    <row r="21" spans="2:25" ht="12.75">
      <c r="B21" s="71" t="s">
        <v>179</v>
      </c>
      <c r="C21" s="71">
        <v>0.9992787649435859</v>
      </c>
      <c r="N21" s="71" t="s">
        <v>179</v>
      </c>
      <c r="O21" s="71">
        <v>0.998187988923793</v>
      </c>
      <c r="X21" s="71" t="s">
        <v>179</v>
      </c>
      <c r="Y21" s="71">
        <v>0.9985235329750225</v>
      </c>
    </row>
    <row r="22" spans="2:25" ht="12.75">
      <c r="B22" s="71" t="s">
        <v>180</v>
      </c>
      <c r="C22" s="71">
        <v>0.9985580500671785</v>
      </c>
      <c r="N22" s="71" t="s">
        <v>180</v>
      </c>
      <c r="O22" s="71">
        <v>0.9963792612317263</v>
      </c>
      <c r="X22" s="71" t="s">
        <v>180</v>
      </c>
      <c r="Y22" s="71">
        <v>0.9970492459049208</v>
      </c>
    </row>
    <row r="23" spans="2:25" ht="12.75">
      <c r="B23" s="71" t="s">
        <v>181</v>
      </c>
      <c r="C23" s="71">
        <v>0.9980774000895712</v>
      </c>
      <c r="N23" s="71" t="s">
        <v>181</v>
      </c>
      <c r="O23" s="71">
        <v>0.9951723483089684</v>
      </c>
      <c r="X23" s="71" t="s">
        <v>181</v>
      </c>
      <c r="Y23" s="71">
        <v>0.9960656612065611</v>
      </c>
    </row>
    <row r="24" spans="2:25" ht="12.75">
      <c r="B24" s="71" t="s">
        <v>182</v>
      </c>
      <c r="C24" s="71">
        <v>0.016510152185111808</v>
      </c>
      <c r="N24" s="71" t="s">
        <v>182</v>
      </c>
      <c r="O24" s="71">
        <v>0.0021682182351805174</v>
      </c>
      <c r="X24" s="71" t="s">
        <v>182</v>
      </c>
      <c r="Y24" s="71">
        <v>0.005802283556627594</v>
      </c>
    </row>
    <row r="25" spans="2:25" ht="13.5" thickBot="1">
      <c r="B25" s="72" t="s">
        <v>183</v>
      </c>
      <c r="C25" s="72">
        <v>9</v>
      </c>
      <c r="N25" s="72" t="s">
        <v>183</v>
      </c>
      <c r="O25" s="72">
        <v>9</v>
      </c>
      <c r="X25" s="72" t="s">
        <v>183</v>
      </c>
      <c r="Y25" s="72">
        <v>9</v>
      </c>
    </row>
    <row r="27" spans="2:24" ht="13.5" thickBot="1">
      <c r="B27" t="s">
        <v>184</v>
      </c>
      <c r="N27" t="s">
        <v>184</v>
      </c>
      <c r="X27" t="s">
        <v>184</v>
      </c>
    </row>
    <row r="28" spans="2:29" ht="12.75">
      <c r="B28" s="73"/>
      <c r="C28" s="73" t="s">
        <v>185</v>
      </c>
      <c r="D28" s="73" t="s">
        <v>186</v>
      </c>
      <c r="E28" s="73" t="s">
        <v>187</v>
      </c>
      <c r="F28" s="73" t="s">
        <v>3</v>
      </c>
      <c r="G28" s="73" t="s">
        <v>188</v>
      </c>
      <c r="N28" s="73"/>
      <c r="O28" s="73" t="s">
        <v>185</v>
      </c>
      <c r="P28" s="73" t="s">
        <v>186</v>
      </c>
      <c r="Q28" s="73" t="s">
        <v>187</v>
      </c>
      <c r="R28" s="73" t="s">
        <v>3</v>
      </c>
      <c r="S28" s="73" t="s">
        <v>188</v>
      </c>
      <c r="X28" s="73"/>
      <c r="Y28" s="73" t="s">
        <v>185</v>
      </c>
      <c r="Z28" s="73" t="s">
        <v>186</v>
      </c>
      <c r="AA28" s="73" t="s">
        <v>187</v>
      </c>
      <c r="AB28" s="73" t="s">
        <v>3</v>
      </c>
      <c r="AC28" s="73" t="s">
        <v>188</v>
      </c>
    </row>
    <row r="29" spans="2:29" ht="12.75">
      <c r="B29" s="71" t="s">
        <v>189</v>
      </c>
      <c r="C29" s="71">
        <v>2</v>
      </c>
      <c r="D29" s="71">
        <v>1.1325999532036177</v>
      </c>
      <c r="E29" s="71">
        <v>0.5662999766018089</v>
      </c>
      <c r="F29" s="71">
        <v>2077.5160648883407</v>
      </c>
      <c r="G29" s="71">
        <v>2.9981305752265284E-09</v>
      </c>
      <c r="N29" s="71" t="s">
        <v>189</v>
      </c>
      <c r="O29" s="71">
        <v>2</v>
      </c>
      <c r="P29" s="71">
        <v>0.007762198112931817</v>
      </c>
      <c r="Q29" s="71">
        <v>0.0038810990564659086</v>
      </c>
      <c r="R29" s="71">
        <v>825.560189508049</v>
      </c>
      <c r="S29" s="71">
        <v>4.746697727321003E-08</v>
      </c>
      <c r="X29" s="71" t="s">
        <v>189</v>
      </c>
      <c r="Y29" s="71">
        <v>2</v>
      </c>
      <c r="Z29" s="71">
        <v>0.06825472779530084</v>
      </c>
      <c r="AA29" s="71">
        <v>0.03412736389765042</v>
      </c>
      <c r="AB29" s="71">
        <v>1013.6892608919962</v>
      </c>
      <c r="AC29" s="71">
        <v>2.5692067570750064E-08</v>
      </c>
    </row>
    <row r="30" spans="2:29" ht="12.75">
      <c r="B30" s="71" t="s">
        <v>190</v>
      </c>
      <c r="C30" s="71">
        <v>6</v>
      </c>
      <c r="D30" s="71">
        <v>0.0016355107510533128</v>
      </c>
      <c r="E30" s="71">
        <v>0.00027258512517555215</v>
      </c>
      <c r="F30" s="71"/>
      <c r="G30" s="71"/>
      <c r="N30" s="71" t="s">
        <v>190</v>
      </c>
      <c r="O30" s="71">
        <v>6</v>
      </c>
      <c r="P30" s="71">
        <v>2.820702189221591E-05</v>
      </c>
      <c r="Q30" s="71">
        <v>4.701170315369318E-06</v>
      </c>
      <c r="R30" s="71"/>
      <c r="S30" s="71"/>
      <c r="X30" s="71" t="s">
        <v>190</v>
      </c>
      <c r="Y30" s="71">
        <v>6</v>
      </c>
      <c r="Z30" s="71">
        <v>0.00020199896682906573</v>
      </c>
      <c r="AA30" s="71">
        <v>3.366649447151096E-05</v>
      </c>
      <c r="AB30" s="71"/>
      <c r="AC30" s="71"/>
    </row>
    <row r="31" spans="2:29" ht="13.5" thickBot="1">
      <c r="B31" s="72" t="s">
        <v>191</v>
      </c>
      <c r="C31" s="72">
        <v>8</v>
      </c>
      <c r="D31" s="72">
        <v>1.134235463954671</v>
      </c>
      <c r="E31" s="72"/>
      <c r="F31" s="72"/>
      <c r="G31" s="72"/>
      <c r="N31" s="72" t="s">
        <v>191</v>
      </c>
      <c r="O31" s="72">
        <v>8</v>
      </c>
      <c r="P31" s="72">
        <v>0.007790405134824033</v>
      </c>
      <c r="Q31" s="72"/>
      <c r="R31" s="72"/>
      <c r="S31" s="72"/>
      <c r="X31" s="72" t="s">
        <v>191</v>
      </c>
      <c r="Y31" s="72">
        <v>8</v>
      </c>
      <c r="Z31" s="72">
        <v>0.06845672676212991</v>
      </c>
      <c r="AA31" s="72"/>
      <c r="AB31" s="72"/>
      <c r="AC31" s="72"/>
    </row>
    <row r="32" ht="13.5" thickBot="1"/>
    <row r="33" spans="2:32" ht="12.75">
      <c r="B33" s="73"/>
      <c r="C33" s="73" t="s">
        <v>192</v>
      </c>
      <c r="D33" s="73" t="s">
        <v>182</v>
      </c>
      <c r="E33" s="73" t="s">
        <v>193</v>
      </c>
      <c r="F33" s="73" t="s">
        <v>194</v>
      </c>
      <c r="G33" s="73" t="s">
        <v>195</v>
      </c>
      <c r="H33" s="73" t="s">
        <v>196</v>
      </c>
      <c r="I33" s="73" t="s">
        <v>197</v>
      </c>
      <c r="J33" s="73" t="s">
        <v>198</v>
      </c>
      <c r="K33" s="73" t="s">
        <v>198</v>
      </c>
      <c r="N33" s="73"/>
      <c r="O33" s="73" t="s">
        <v>192</v>
      </c>
      <c r="P33" s="73" t="s">
        <v>182</v>
      </c>
      <c r="Q33" s="73" t="s">
        <v>193</v>
      </c>
      <c r="R33" s="73" t="s">
        <v>194</v>
      </c>
      <c r="S33" s="73" t="s">
        <v>195</v>
      </c>
      <c r="T33" s="73" t="s">
        <v>196</v>
      </c>
      <c r="U33" s="73" t="s">
        <v>197</v>
      </c>
      <c r="V33" s="73" t="s">
        <v>198</v>
      </c>
      <c r="X33" s="73"/>
      <c r="Y33" s="73" t="s">
        <v>192</v>
      </c>
      <c r="Z33" s="73" t="s">
        <v>182</v>
      </c>
      <c r="AA33" s="73" t="s">
        <v>193</v>
      </c>
      <c r="AB33" s="73" t="s">
        <v>194</v>
      </c>
      <c r="AC33" s="73" t="s">
        <v>195</v>
      </c>
      <c r="AD33" s="73" t="s">
        <v>196</v>
      </c>
      <c r="AE33" s="73" t="s">
        <v>197</v>
      </c>
      <c r="AF33" s="73" t="s">
        <v>198</v>
      </c>
    </row>
    <row r="34" spans="2:32" ht="12.75">
      <c r="B34" s="71" t="s">
        <v>199</v>
      </c>
      <c r="C34" s="71">
        <v>1.9585303764301945</v>
      </c>
      <c r="D34" s="71">
        <v>0.022957871846772997</v>
      </c>
      <c r="E34" s="71">
        <v>85.30975299025765</v>
      </c>
      <c r="F34" s="71">
        <v>1.7473188981857605E-10</v>
      </c>
      <c r="G34" s="71">
        <v>1.9023544878394423</v>
      </c>
      <c r="H34" s="71">
        <v>2.014706265020947</v>
      </c>
      <c r="I34" s="71">
        <v>1.9023544878394423</v>
      </c>
      <c r="J34" s="71">
        <v>2.014706265020947</v>
      </c>
      <c r="K34" s="71">
        <v>2.176741631511222</v>
      </c>
      <c r="N34" s="71" t="s">
        <v>199</v>
      </c>
      <c r="O34" s="71">
        <v>0.9204876776552114</v>
      </c>
      <c r="P34" s="71">
        <v>0.003014973806479999</v>
      </c>
      <c r="Q34" s="71">
        <v>305.30536473545243</v>
      </c>
      <c r="R34" s="71">
        <v>8.333429737338554E-14</v>
      </c>
      <c r="S34" s="71">
        <v>0.9131103025314513</v>
      </c>
      <c r="T34" s="71">
        <v>0.9278650527789716</v>
      </c>
      <c r="U34" s="71">
        <v>0.9131103025314513</v>
      </c>
      <c r="V34" s="71">
        <v>0.9278650527789716</v>
      </c>
      <c r="X34" s="71" t="s">
        <v>199</v>
      </c>
      <c r="Y34" s="71">
        <v>0.7824424924106441</v>
      </c>
      <c r="Z34" s="71">
        <v>0.008068252843351515</v>
      </c>
      <c r="AA34" s="71">
        <v>96.97793408338714</v>
      </c>
      <c r="AB34" s="71">
        <v>8.101009119847676E-11</v>
      </c>
      <c r="AC34" s="71">
        <v>0.7627001889482331</v>
      </c>
      <c r="AD34" s="71">
        <v>0.8021847958730551</v>
      </c>
      <c r="AE34" s="71">
        <v>0.7627001889482331</v>
      </c>
      <c r="AF34" s="71">
        <v>0.8021847958730551</v>
      </c>
    </row>
    <row r="35" spans="2:32" ht="12.75">
      <c r="B35" s="71" t="s">
        <v>200</v>
      </c>
      <c r="C35" s="71">
        <v>-0.3486490978320814</v>
      </c>
      <c r="D35" s="71">
        <v>0.011388043069276134</v>
      </c>
      <c r="E35" s="71">
        <v>-30.615365230985454</v>
      </c>
      <c r="F35" s="71">
        <v>8.061058676025727E-08</v>
      </c>
      <c r="G35" s="71">
        <v>-0.3765146353259788</v>
      </c>
      <c r="H35" s="71">
        <v>-0.32078356033818406</v>
      </c>
      <c r="I35" s="71">
        <v>-0.3765146353259788</v>
      </c>
      <c r="J35" s="71">
        <v>-0.32078356033818406</v>
      </c>
      <c r="K35" s="71">
        <v>-0.35793999673178734</v>
      </c>
      <c r="N35" s="71" t="s">
        <v>200</v>
      </c>
      <c r="O35" s="71">
        <v>0.02858691283816552</v>
      </c>
      <c r="P35" s="71">
        <v>0.0014955502753082838</v>
      </c>
      <c r="Q35" s="71">
        <v>19.11464516448488</v>
      </c>
      <c r="R35" s="71">
        <v>1.3259692563995155E-06</v>
      </c>
      <c r="S35" s="71">
        <v>0.02492743315257802</v>
      </c>
      <c r="T35" s="71">
        <v>0.03224639252375302</v>
      </c>
      <c r="U35" s="71">
        <v>0.02492743315257802</v>
      </c>
      <c r="V35" s="71">
        <v>0.03224639252375302</v>
      </c>
      <c r="X35" s="71" t="s">
        <v>200</v>
      </c>
      <c r="Y35" s="71">
        <v>0.07667967571600076</v>
      </c>
      <c r="Z35" s="71">
        <v>0.004002183281061032</v>
      </c>
      <c r="AA35" s="71">
        <v>19.159461306747538</v>
      </c>
      <c r="AB35" s="71">
        <v>1.3077274391846084E-06</v>
      </c>
      <c r="AC35" s="71">
        <v>0.0668866860339777</v>
      </c>
      <c r="AD35" s="71">
        <v>0.08647266539802383</v>
      </c>
      <c r="AE35" s="71">
        <v>0.0668866860339777</v>
      </c>
      <c r="AF35" s="71">
        <v>0.08647266539802383</v>
      </c>
    </row>
    <row r="36" spans="2:32" ht="13.5" thickBot="1">
      <c r="B36" s="72" t="s">
        <v>201</v>
      </c>
      <c r="C36" s="72">
        <v>0.021159340991976854</v>
      </c>
      <c r="D36" s="72">
        <v>0.0012217178238159482</v>
      </c>
      <c r="E36" s="72">
        <v>17.319335594112204</v>
      </c>
      <c r="F36" s="72">
        <v>2.3742821696530606E-06</v>
      </c>
      <c r="G36" s="72">
        <v>0.018169905175883655</v>
      </c>
      <c r="H36" s="72">
        <v>0.024148776808070052</v>
      </c>
      <c r="I36" s="72">
        <v>0.018169905175883655</v>
      </c>
      <c r="J36" s="72">
        <v>0.024148776808070052</v>
      </c>
      <c r="K36" s="72">
        <v>0.0298818310779472</v>
      </c>
      <c r="N36" s="72" t="s">
        <v>201</v>
      </c>
      <c r="O36" s="72">
        <v>-0.001719278807111712</v>
      </c>
      <c r="P36" s="72">
        <v>0.0001604437581278939</v>
      </c>
      <c r="Q36" s="72">
        <v>-10.71577247487079</v>
      </c>
      <c r="R36" s="72">
        <v>3.899969400373421E-05</v>
      </c>
      <c r="S36" s="72">
        <v>-0.0021118705395610357</v>
      </c>
      <c r="T36" s="72">
        <v>-0.0013266870746623885</v>
      </c>
      <c r="U36" s="72">
        <v>-0.0021118705395610357</v>
      </c>
      <c r="V36" s="72">
        <v>-0.0013266870746623885</v>
      </c>
      <c r="X36" s="72" t="s">
        <v>201</v>
      </c>
      <c r="Y36" s="72">
        <v>-0.004155629665499593</v>
      </c>
      <c r="Z36" s="72">
        <v>0.0004293572318708532</v>
      </c>
      <c r="AA36" s="72">
        <v>-9.678722883954052</v>
      </c>
      <c r="AB36" s="72">
        <v>6.975342256029099E-05</v>
      </c>
      <c r="AC36" s="72">
        <v>-0.0052062289625159274</v>
      </c>
      <c r="AD36" s="72">
        <v>-0.0031050303684832586</v>
      </c>
      <c r="AE36" s="72">
        <v>-0.0052062289625159274</v>
      </c>
      <c r="AF36" s="72">
        <v>-0.0031050303684832586</v>
      </c>
    </row>
    <row r="39" ht="12.75">
      <c r="A39" t="s">
        <v>166</v>
      </c>
    </row>
    <row r="40" spans="1:12" ht="12.75">
      <c r="A40" s="1" t="s">
        <v>167</v>
      </c>
      <c r="B40" s="1" t="s">
        <v>4</v>
      </c>
      <c r="C40" s="1" t="s">
        <v>250</v>
      </c>
      <c r="D40" s="1" t="s">
        <v>168</v>
      </c>
      <c r="E40" s="1" t="s">
        <v>169</v>
      </c>
      <c r="F40" s="1" t="s">
        <v>170</v>
      </c>
      <c r="G40" s="1" t="s">
        <v>171</v>
      </c>
      <c r="H40" s="1" t="s">
        <v>172</v>
      </c>
      <c r="I40" s="1" t="s">
        <v>173</v>
      </c>
      <c r="J40" s="1" t="s">
        <v>167</v>
      </c>
      <c r="K40" s="1" t="s">
        <v>174</v>
      </c>
      <c r="L40" s="1" t="s">
        <v>175</v>
      </c>
    </row>
    <row r="41" spans="1:12" ht="12.75">
      <c r="A41">
        <v>1</v>
      </c>
      <c r="B41">
        <f aca="true" t="shared" si="14" ref="B41:B49">30+A41*10</f>
        <v>40</v>
      </c>
      <c r="C41" s="2">
        <f>(B41*Calculator!$C$13*Calculator!$C$14*(Calculator!$C$15-'T-mains'!$N$8))*365/10^3/3.412</f>
        <v>1511.953128663541</v>
      </c>
      <c r="D41">
        <v>1738</v>
      </c>
      <c r="E41">
        <v>104</v>
      </c>
      <c r="F41">
        <f aca="true" t="shared" si="15" ref="F41:F49">D41-E41</f>
        <v>1634</v>
      </c>
      <c r="G41" s="34">
        <f aca="true" t="shared" si="16" ref="G41:G49">F41/D41</f>
        <v>0.9401611047180668</v>
      </c>
      <c r="H41" s="64">
        <f aca="true" t="shared" si="17" ref="H41:H49">C41/E41</f>
        <v>14.538010852534049</v>
      </c>
      <c r="I41" s="43">
        <f>H41/$H$44</f>
        <v>1.3996889580093308</v>
      </c>
      <c r="J41">
        <f aca="true" t="shared" si="18" ref="J41:J49">A41</f>
        <v>1</v>
      </c>
      <c r="K41">
        <f aca="true" t="shared" si="19" ref="K41:K49">J41^2</f>
        <v>1</v>
      </c>
      <c r="L41" s="43">
        <f>(1.57-0.187*J41+0.0076*J41^2)</f>
        <v>1.3906</v>
      </c>
    </row>
    <row r="42" spans="1:12" ht="12.75">
      <c r="A42">
        <v>2</v>
      </c>
      <c r="B42">
        <f t="shared" si="14"/>
        <v>50</v>
      </c>
      <c r="C42" s="2">
        <f>(B42*Calculator!$C$13*Calculator!$C$14*(Calculator!$C$15-'T-mains'!$N$8))*365/10^3/3.412</f>
        <v>1889.9414108294268</v>
      </c>
      <c r="D42">
        <v>2111</v>
      </c>
      <c r="E42">
        <v>149</v>
      </c>
      <c r="F42">
        <f t="shared" si="15"/>
        <v>1962</v>
      </c>
      <c r="G42" s="34">
        <f t="shared" si="16"/>
        <v>0.9294173377546187</v>
      </c>
      <c r="H42" s="64">
        <f t="shared" si="17"/>
        <v>12.684170542479375</v>
      </c>
      <c r="I42" s="43">
        <f aca="true" t="shared" si="20" ref="I42:I49">H42/$H$44</f>
        <v>1.221205131149081</v>
      </c>
      <c r="J42">
        <f t="shared" si="18"/>
        <v>2</v>
      </c>
      <c r="K42">
        <f t="shared" si="19"/>
        <v>4</v>
      </c>
      <c r="L42" s="43">
        <f aca="true" t="shared" si="21" ref="L42:L49">(1.57-0.187*J42+0.0076*J42^2)</f>
        <v>1.2264000000000002</v>
      </c>
    </row>
    <row r="43" spans="1:12" ht="12.75">
      <c r="A43">
        <v>3</v>
      </c>
      <c r="B43">
        <f t="shared" si="14"/>
        <v>60</v>
      </c>
      <c r="C43" s="2">
        <f>(B43*Calculator!$C$13*Calculator!$C$14*(Calculator!$C$15-'T-mains'!$N$8))*365/10^3/3.412</f>
        <v>2267.929692995312</v>
      </c>
      <c r="D43">
        <v>2482</v>
      </c>
      <c r="E43">
        <v>206</v>
      </c>
      <c r="F43">
        <f t="shared" si="15"/>
        <v>2276</v>
      </c>
      <c r="G43" s="34">
        <f t="shared" si="16"/>
        <v>0.9170024174053183</v>
      </c>
      <c r="H43" s="64">
        <f t="shared" si="17"/>
        <v>11.009367441724816</v>
      </c>
      <c r="I43" s="43">
        <f t="shared" si="20"/>
        <v>1.0599586283954159</v>
      </c>
      <c r="J43">
        <f t="shared" si="18"/>
        <v>3</v>
      </c>
      <c r="K43">
        <f t="shared" si="19"/>
        <v>9</v>
      </c>
      <c r="L43" s="43">
        <f t="shared" si="21"/>
        <v>1.0774000000000001</v>
      </c>
    </row>
    <row r="44" spans="1:12" ht="12.75">
      <c r="A44" s="65">
        <v>3.43</v>
      </c>
      <c r="B44" s="66">
        <f t="shared" si="14"/>
        <v>64.30000000000001</v>
      </c>
      <c r="C44" s="179">
        <f>(B44*Calculator!$C$13*Calculator!$C$14*(Calculator!$C$15-'T-mains'!$N$8))*365/10^3/3.412</f>
        <v>2430.464654326643</v>
      </c>
      <c r="D44" s="66">
        <v>2640</v>
      </c>
      <c r="E44" s="66">
        <v>234</v>
      </c>
      <c r="F44" s="66">
        <f t="shared" si="15"/>
        <v>2406</v>
      </c>
      <c r="G44" s="67">
        <f t="shared" si="16"/>
        <v>0.9113636363636364</v>
      </c>
      <c r="H44" s="68">
        <f t="shared" si="17"/>
        <v>10.386601086865996</v>
      </c>
      <c r="I44" s="69">
        <f t="shared" si="20"/>
        <v>1</v>
      </c>
      <c r="J44" s="66">
        <f t="shared" si="18"/>
        <v>3.43</v>
      </c>
      <c r="K44" s="66">
        <f t="shared" si="19"/>
        <v>11.7649</v>
      </c>
      <c r="L44" s="69">
        <f t="shared" si="21"/>
        <v>1.01800324</v>
      </c>
    </row>
    <row r="45" spans="1:12" ht="12.75">
      <c r="A45">
        <v>4</v>
      </c>
      <c r="B45">
        <f t="shared" si="14"/>
        <v>70</v>
      </c>
      <c r="C45" s="2">
        <f>(B45*Calculator!$C$13*Calculator!$C$14*(Calculator!$C$15-'T-mains'!$N$8))*365/10^3/3.412</f>
        <v>2645.9179751611973</v>
      </c>
      <c r="D45">
        <v>2852</v>
      </c>
      <c r="E45">
        <v>267</v>
      </c>
      <c r="F45">
        <f t="shared" si="15"/>
        <v>2585</v>
      </c>
      <c r="G45" s="34">
        <f t="shared" si="16"/>
        <v>0.9063814866760168</v>
      </c>
      <c r="H45" s="64">
        <f t="shared" si="17"/>
        <v>9.909805150416469</v>
      </c>
      <c r="I45" s="43">
        <f t="shared" si="20"/>
        <v>0.9540950949726525</v>
      </c>
      <c r="J45">
        <f t="shared" si="18"/>
        <v>4</v>
      </c>
      <c r="K45">
        <f t="shared" si="19"/>
        <v>16</v>
      </c>
      <c r="L45" s="43">
        <f t="shared" si="21"/>
        <v>0.9436000000000001</v>
      </c>
    </row>
    <row r="46" spans="1:12" ht="12.75">
      <c r="A46">
        <v>5</v>
      </c>
      <c r="B46">
        <f t="shared" si="14"/>
        <v>80</v>
      </c>
      <c r="C46" s="2">
        <f>(B46*Calculator!$C$13*Calculator!$C$14*(Calculator!$C$15-'T-mains'!$N$8))*365/10^3/3.412</f>
        <v>3023.906257327082</v>
      </c>
      <c r="D46">
        <v>3225</v>
      </c>
      <c r="E46">
        <v>362</v>
      </c>
      <c r="F46">
        <f t="shared" si="15"/>
        <v>2863</v>
      </c>
      <c r="G46" s="34">
        <f t="shared" si="16"/>
        <v>0.8877519379844961</v>
      </c>
      <c r="H46" s="64">
        <f t="shared" si="17"/>
        <v>8.353332202561</v>
      </c>
      <c r="I46" s="43">
        <f t="shared" si="20"/>
        <v>0.8042411692429304</v>
      </c>
      <c r="J46">
        <f t="shared" si="18"/>
        <v>5</v>
      </c>
      <c r="K46">
        <f t="shared" si="19"/>
        <v>25</v>
      </c>
      <c r="L46" s="43">
        <f t="shared" si="21"/>
        <v>0.825</v>
      </c>
    </row>
    <row r="47" spans="1:12" ht="12.75">
      <c r="A47">
        <v>6</v>
      </c>
      <c r="B47">
        <f t="shared" si="14"/>
        <v>90</v>
      </c>
      <c r="C47" s="2">
        <f>(B47*Calculator!$C$13*Calculator!$C$14*(Calculator!$C$15-'T-mains'!$N$8))*365/10^3/3.412</f>
        <v>3401.8945394929683</v>
      </c>
      <c r="D47">
        <v>3595</v>
      </c>
      <c r="E47">
        <v>427</v>
      </c>
      <c r="F47">
        <f t="shared" si="15"/>
        <v>3168</v>
      </c>
      <c r="G47" s="34">
        <f t="shared" si="16"/>
        <v>0.8812239221140473</v>
      </c>
      <c r="H47" s="64">
        <f t="shared" si="17"/>
        <v>7.966966134643954</v>
      </c>
      <c r="I47" s="43">
        <f t="shared" si="20"/>
        <v>0.7670426608294696</v>
      </c>
      <c r="J47">
        <f t="shared" si="18"/>
        <v>6</v>
      </c>
      <c r="K47">
        <f t="shared" si="19"/>
        <v>36</v>
      </c>
      <c r="L47" s="43">
        <f t="shared" si="21"/>
        <v>0.7216000000000002</v>
      </c>
    </row>
    <row r="48" spans="1:12" ht="12.75">
      <c r="A48">
        <v>7</v>
      </c>
      <c r="B48">
        <f t="shared" si="14"/>
        <v>100</v>
      </c>
      <c r="C48" s="2">
        <f>(B48*Calculator!$C$13*Calculator!$C$14*(Calculator!$C$15-'T-mains'!$N$8))*365/10^3/3.412</f>
        <v>3779.8828216588536</v>
      </c>
      <c r="D48">
        <v>3965</v>
      </c>
      <c r="E48">
        <v>586</v>
      </c>
      <c r="F48">
        <f t="shared" si="15"/>
        <v>3379</v>
      </c>
      <c r="G48" s="34">
        <f t="shared" si="16"/>
        <v>0.8522068095838587</v>
      </c>
      <c r="H48" s="64">
        <f t="shared" si="17"/>
        <v>6.450311982352993</v>
      </c>
      <c r="I48" s="43">
        <f t="shared" si="20"/>
        <v>0.621022404577519</v>
      </c>
      <c r="J48">
        <f t="shared" si="18"/>
        <v>7</v>
      </c>
      <c r="K48">
        <f t="shared" si="19"/>
        <v>49</v>
      </c>
      <c r="L48" s="43">
        <f t="shared" si="21"/>
        <v>0.6334000000000002</v>
      </c>
    </row>
    <row r="49" spans="1:12" ht="12.75">
      <c r="A49">
        <v>8</v>
      </c>
      <c r="B49">
        <f t="shared" si="14"/>
        <v>110</v>
      </c>
      <c r="C49" s="2">
        <f>(B49*Calculator!$C$13*Calculator!$C$14*(Calculator!$C$15-'T-mains'!$N$8))*365/10^3/3.412</f>
        <v>4157.871103824739</v>
      </c>
      <c r="D49">
        <v>4338</v>
      </c>
      <c r="E49">
        <v>728</v>
      </c>
      <c r="F49">
        <f t="shared" si="15"/>
        <v>3610</v>
      </c>
      <c r="G49" s="34">
        <f t="shared" si="16"/>
        <v>0.8321807284462887</v>
      </c>
      <c r="H49" s="64">
        <f t="shared" si="17"/>
        <v>5.711361406352664</v>
      </c>
      <c r="I49" s="43">
        <f t="shared" si="20"/>
        <v>0.5498778049322373</v>
      </c>
      <c r="J49">
        <f t="shared" si="18"/>
        <v>8</v>
      </c>
      <c r="K49">
        <f t="shared" si="19"/>
        <v>64</v>
      </c>
      <c r="L49" s="43">
        <f t="shared" si="21"/>
        <v>0.5604</v>
      </c>
    </row>
    <row r="51" ht="12.75">
      <c r="A51" t="s">
        <v>176</v>
      </c>
    </row>
    <row r="52" ht="12.75">
      <c r="A52" t="s">
        <v>275</v>
      </c>
    </row>
    <row r="54" ht="12.75">
      <c r="B54" t="s">
        <v>276</v>
      </c>
    </row>
    <row r="55" ht="12.75">
      <c r="B55" t="s">
        <v>177</v>
      </c>
    </row>
    <row r="56" ht="13.5" thickBot="1"/>
    <row r="57" spans="2:3" ht="12.75">
      <c r="B57" s="70" t="s">
        <v>178</v>
      </c>
      <c r="C57" s="70"/>
    </row>
    <row r="58" spans="2:3" ht="12.75">
      <c r="B58" s="71" t="s">
        <v>179</v>
      </c>
      <c r="C58" s="71">
        <v>0.99707434391348</v>
      </c>
    </row>
    <row r="59" spans="2:3" ht="12.75">
      <c r="B59" s="71" t="s">
        <v>180</v>
      </c>
      <c r="C59" s="71">
        <v>0.9941572472904967</v>
      </c>
    </row>
    <row r="60" spans="2:3" ht="12.75">
      <c r="B60" s="71" t="s">
        <v>181</v>
      </c>
      <c r="C60" s="71">
        <v>0.9922096630539956</v>
      </c>
    </row>
    <row r="61" spans="2:3" ht="12.75">
      <c r="B61" s="71" t="s">
        <v>182</v>
      </c>
      <c r="C61" s="71">
        <v>0.02437443800986692</v>
      </c>
    </row>
    <row r="62" spans="2:3" ht="13.5" thickBot="1">
      <c r="B62" s="72" t="s">
        <v>183</v>
      </c>
      <c r="C62" s="72">
        <v>9</v>
      </c>
    </row>
    <row r="64" ht="13.5" thickBot="1">
      <c r="B64" t="s">
        <v>184</v>
      </c>
    </row>
    <row r="65" spans="2:7" ht="12.75">
      <c r="B65" s="73"/>
      <c r="C65" s="73" t="s">
        <v>185</v>
      </c>
      <c r="D65" s="73" t="s">
        <v>186</v>
      </c>
      <c r="E65" s="73" t="s">
        <v>187</v>
      </c>
      <c r="F65" s="73" t="s">
        <v>3</v>
      </c>
      <c r="G65" s="73" t="s">
        <v>188</v>
      </c>
    </row>
    <row r="66" spans="2:7" ht="12.75">
      <c r="B66" s="71" t="s">
        <v>189</v>
      </c>
      <c r="C66" s="71">
        <v>2</v>
      </c>
      <c r="D66" s="71">
        <v>0.6065380490895506</v>
      </c>
      <c r="E66" s="71">
        <v>0.3032690245447753</v>
      </c>
      <c r="F66" s="71">
        <v>510.45661012154517</v>
      </c>
      <c r="G66" s="71">
        <v>1.994584852079423E-07</v>
      </c>
    </row>
    <row r="67" spans="2:7" ht="12.75">
      <c r="B67" s="71" t="s">
        <v>190</v>
      </c>
      <c r="C67" s="71">
        <v>6</v>
      </c>
      <c r="D67" s="71">
        <v>0.0035646793697810715</v>
      </c>
      <c r="E67" s="71">
        <v>0.0005941132282968452</v>
      </c>
      <c r="F67" s="71"/>
      <c r="G67" s="71"/>
    </row>
    <row r="68" spans="2:7" ht="13.5" thickBot="1">
      <c r="B68" s="72" t="s">
        <v>191</v>
      </c>
      <c r="C68" s="72">
        <v>8</v>
      </c>
      <c r="D68" s="72">
        <v>0.6101027284593317</v>
      </c>
      <c r="E68" s="72"/>
      <c r="F68" s="72"/>
      <c r="G68" s="72"/>
    </row>
    <row r="69" ht="13.5" thickBot="1"/>
    <row r="70" spans="2:10" ht="12.75">
      <c r="B70" s="73"/>
      <c r="C70" s="73" t="s">
        <v>192</v>
      </c>
      <c r="D70" s="73" t="s">
        <v>182</v>
      </c>
      <c r="E70" s="73" t="s">
        <v>193</v>
      </c>
      <c r="F70" s="73" t="s">
        <v>194</v>
      </c>
      <c r="G70" s="73" t="s">
        <v>195</v>
      </c>
      <c r="H70" s="73" t="s">
        <v>196</v>
      </c>
      <c r="I70" s="73" t="s">
        <v>197</v>
      </c>
      <c r="J70" s="73" t="s">
        <v>198</v>
      </c>
    </row>
    <row r="71" spans="2:10" ht="12.75">
      <c r="B71" s="71" t="s">
        <v>199</v>
      </c>
      <c r="C71" s="71">
        <v>1.5672817659917075</v>
      </c>
      <c r="D71" s="71">
        <v>0.033893401944062575</v>
      </c>
      <c r="E71" s="71">
        <v>46.241500589947805</v>
      </c>
      <c r="F71" s="71">
        <v>6.853583745275981E-09</v>
      </c>
      <c r="G71" s="71">
        <v>1.4843475992588764</v>
      </c>
      <c r="H71" s="71">
        <v>1.6502159327245387</v>
      </c>
      <c r="I71" s="71">
        <v>1.4843475992588764</v>
      </c>
      <c r="J71" s="71">
        <v>1.6502159327245387</v>
      </c>
    </row>
    <row r="72" spans="2:10" ht="12.75">
      <c r="B72" s="71" t="s">
        <v>200</v>
      </c>
      <c r="C72" s="71">
        <v>-0.18698818841051026</v>
      </c>
      <c r="D72" s="71">
        <v>0.01681251309700668</v>
      </c>
      <c r="E72" s="71">
        <v>-11.121965367795124</v>
      </c>
      <c r="F72" s="71">
        <v>3.149087055154667E-05</v>
      </c>
      <c r="G72" s="71">
        <v>-0.22812692587588054</v>
      </c>
      <c r="H72" s="71">
        <v>-0.14584945094513999</v>
      </c>
      <c r="I72" s="71">
        <v>-0.22812692587588054</v>
      </c>
      <c r="J72" s="71">
        <v>-0.14584945094513999</v>
      </c>
    </row>
    <row r="73" spans="2:10" ht="13.5" thickBot="1">
      <c r="B73" s="72" t="s">
        <v>201</v>
      </c>
      <c r="C73" s="72">
        <v>0.00762190804532937</v>
      </c>
      <c r="D73" s="72">
        <v>0.0018036590473711422</v>
      </c>
      <c r="E73" s="72">
        <v>4.225803128611478</v>
      </c>
      <c r="F73" s="72">
        <v>0.005525699307678578</v>
      </c>
      <c r="G73" s="72">
        <v>0.0032085133553914355</v>
      </c>
      <c r="H73" s="72">
        <v>0.012035302735267303</v>
      </c>
      <c r="I73" s="72">
        <v>0.0032085133553914355</v>
      </c>
      <c r="J73" s="72">
        <v>0.012035302735267303</v>
      </c>
    </row>
  </sheetData>
  <sheetProtection password="DC79" sheet="1" objects="1" scenarios="1"/>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F73"/>
  <sheetViews>
    <sheetView workbookViewId="0" topLeftCell="A1">
      <selection activeCell="A2" sqref="A2"/>
    </sheetView>
  </sheetViews>
  <sheetFormatPr defaultColWidth="9.140625" defaultRowHeight="12.75"/>
  <cols>
    <col min="1" max="1" width="7.140625" style="0" customWidth="1"/>
    <col min="3" max="3" width="8.00390625" style="0" customWidth="1"/>
    <col min="10" max="10" width="9.00390625" style="0" customWidth="1"/>
    <col min="13" max="13" width="3.57421875" style="0" customWidth="1"/>
    <col min="17" max="17" width="3.421875" style="0" customWidth="1"/>
  </cols>
  <sheetData>
    <row r="1" ht="12.75">
      <c r="A1" t="s">
        <v>165</v>
      </c>
    </row>
    <row r="2" spans="1:18" ht="12.75">
      <c r="A2" t="s">
        <v>289</v>
      </c>
      <c r="N2" t="s">
        <v>254</v>
      </c>
      <c r="R2" t="s">
        <v>253</v>
      </c>
    </row>
    <row r="3" spans="1:21" ht="12.75">
      <c r="A3" s="1" t="s">
        <v>167</v>
      </c>
      <c r="B3" s="1" t="s">
        <v>4</v>
      </c>
      <c r="C3" s="1" t="s">
        <v>250</v>
      </c>
      <c r="D3" s="1" t="s">
        <v>168</v>
      </c>
      <c r="E3" s="1" t="s">
        <v>169</v>
      </c>
      <c r="F3" s="1" t="s">
        <v>170</v>
      </c>
      <c r="G3" s="1" t="s">
        <v>171</v>
      </c>
      <c r="H3" s="1" t="s">
        <v>172</v>
      </c>
      <c r="I3" s="1" t="s">
        <v>173</v>
      </c>
      <c r="J3" s="1" t="s">
        <v>167</v>
      </c>
      <c r="K3" s="1" t="s">
        <v>174</v>
      </c>
      <c r="L3" s="1" t="s">
        <v>175</v>
      </c>
      <c r="N3" s="1" t="s">
        <v>258</v>
      </c>
      <c r="O3" s="1" t="s">
        <v>259</v>
      </c>
      <c r="P3" s="1" t="s">
        <v>175</v>
      </c>
      <c r="R3" s="1" t="s">
        <v>255</v>
      </c>
      <c r="S3" s="1" t="s">
        <v>256</v>
      </c>
      <c r="T3" s="1" t="s">
        <v>257</v>
      </c>
      <c r="U3" s="1" t="s">
        <v>175</v>
      </c>
    </row>
    <row r="4" spans="1:21" ht="12.75">
      <c r="A4">
        <v>1</v>
      </c>
      <c r="B4">
        <f aca="true" t="shared" si="0" ref="B4:B12">30+A4*10</f>
        <v>40</v>
      </c>
      <c r="C4" s="2">
        <f>(B4*Calculator!$C$13*Calculator!$C$14*(Calculator!$C$15-'T-mains'!$N$12))*365/10^3/3.412</f>
        <v>1357.5628712387654</v>
      </c>
      <c r="D4">
        <v>1616</v>
      </c>
      <c r="E4">
        <v>98</v>
      </c>
      <c r="F4">
        <f aca="true" t="shared" si="1" ref="F4:F12">D4-E4</f>
        <v>1518</v>
      </c>
      <c r="G4" s="34">
        <f aca="true" t="shared" si="2" ref="G4:G12">F4/D4</f>
        <v>0.9393564356435643</v>
      </c>
      <c r="H4" s="64">
        <f aca="true" t="shared" si="3" ref="H4:H12">C4/E4</f>
        <v>13.852682359579239</v>
      </c>
      <c r="I4" s="43">
        <f aca="true" t="shared" si="4" ref="I4:I12">H4/$H$7</f>
        <v>1.8218173739169063</v>
      </c>
      <c r="J4">
        <f aca="true" t="shared" si="5" ref="J4:J12">A4</f>
        <v>1</v>
      </c>
      <c r="K4">
        <f aca="true" t="shared" si="6" ref="K4:K12">J4^2</f>
        <v>1</v>
      </c>
      <c r="L4" s="43">
        <f>2.208-0.445*J4+0.0287*J4^2</f>
        <v>1.7917</v>
      </c>
      <c r="N4" s="79">
        <f aca="true" t="shared" si="7" ref="N4:N12">C4/D4</f>
        <v>0.8400760341824043</v>
      </c>
      <c r="O4" s="79">
        <f aca="true" t="shared" si="8" ref="O4:O12">N4/$N$7</f>
        <v>0.942364843016183</v>
      </c>
      <c r="P4" s="79">
        <f>0.917+0.03*J4-0.00181*J4^2</f>
        <v>0.9451900000000001</v>
      </c>
      <c r="R4">
        <v>100</v>
      </c>
      <c r="S4" s="79">
        <f aca="true" t="shared" si="9" ref="S4:S12">C4/(R4/10*293)</f>
        <v>0.463332037965449</v>
      </c>
      <c r="T4" s="79">
        <f aca="true" t="shared" si="10" ref="T4:T12">S4/$S$7</f>
        <v>0.852255054432348</v>
      </c>
      <c r="U4" s="79">
        <f>0.784+0.0772*J4-0.0041*J4^2</f>
        <v>0.8571000000000001</v>
      </c>
    </row>
    <row r="5" spans="1:21" ht="12.75">
      <c r="A5">
        <v>2</v>
      </c>
      <c r="B5">
        <f t="shared" si="0"/>
        <v>50</v>
      </c>
      <c r="C5" s="2">
        <f>(B5*Calculator!$C$13*Calculator!$C$14*(Calculator!$C$15-'T-mains'!$N$12))*365/10^3/3.412</f>
        <v>1696.9535890484572</v>
      </c>
      <c r="D5">
        <v>1960</v>
      </c>
      <c r="E5">
        <v>158</v>
      </c>
      <c r="F5">
        <f t="shared" si="1"/>
        <v>1802</v>
      </c>
      <c r="G5" s="34">
        <f t="shared" si="2"/>
        <v>0.9193877551020408</v>
      </c>
      <c r="H5" s="64">
        <f t="shared" si="3"/>
        <v>10.740212588914286</v>
      </c>
      <c r="I5" s="43">
        <f t="shared" si="4"/>
        <v>1.4124849892710196</v>
      </c>
      <c r="J5">
        <f t="shared" si="5"/>
        <v>2</v>
      </c>
      <c r="K5">
        <f t="shared" si="6"/>
        <v>4</v>
      </c>
      <c r="L5" s="43">
        <f aca="true" t="shared" si="11" ref="L5:L12">2.208-0.445*J5+0.0287*J5^2</f>
        <v>1.4328</v>
      </c>
      <c r="N5" s="79">
        <f t="shared" si="7"/>
        <v>0.8657926474737027</v>
      </c>
      <c r="O5" s="79">
        <f t="shared" si="8"/>
        <v>0.9712127463738215</v>
      </c>
      <c r="P5" s="79">
        <f aca="true" t="shared" si="12" ref="P5:P12">0.917+0.03*J5-0.00181*J5^2</f>
        <v>0.9697600000000001</v>
      </c>
      <c r="R5">
        <v>115</v>
      </c>
      <c r="S5" s="79">
        <f t="shared" si="9"/>
        <v>0.5036217803972273</v>
      </c>
      <c r="T5" s="79">
        <f t="shared" si="10"/>
        <v>0.9263641896003785</v>
      </c>
      <c r="U5" s="79">
        <f aca="true" t="shared" si="13" ref="U5:U12">0.784+0.0772*J5-0.0041*J5^2</f>
        <v>0.922</v>
      </c>
    </row>
    <row r="6" spans="1:21" ht="12.75">
      <c r="A6">
        <v>3</v>
      </c>
      <c r="B6">
        <f t="shared" si="0"/>
        <v>60</v>
      </c>
      <c r="C6" s="2">
        <f>(B6*Calculator!$C$13*Calculator!$C$14*(Calculator!$C$15-'T-mains'!$N$12))*365/10^3/3.412</f>
        <v>2036.3443068581485</v>
      </c>
      <c r="D6">
        <v>2301</v>
      </c>
      <c r="E6">
        <v>242</v>
      </c>
      <c r="F6">
        <f t="shared" si="1"/>
        <v>2059</v>
      </c>
      <c r="G6" s="34">
        <f t="shared" si="2"/>
        <v>0.8948283355063016</v>
      </c>
      <c r="H6" s="64">
        <f t="shared" si="3"/>
        <v>8.414645896108052</v>
      </c>
      <c r="I6" s="43">
        <f t="shared" si="4"/>
        <v>1.1066411320900218</v>
      </c>
      <c r="J6">
        <f t="shared" si="5"/>
        <v>3</v>
      </c>
      <c r="K6">
        <f t="shared" si="6"/>
        <v>9</v>
      </c>
      <c r="L6" s="43">
        <f t="shared" si="11"/>
        <v>1.1313000000000002</v>
      </c>
      <c r="N6" s="79">
        <f t="shared" si="7"/>
        <v>0.884982315018752</v>
      </c>
      <c r="O6" s="79">
        <f t="shared" si="8"/>
        <v>0.9927389741291733</v>
      </c>
      <c r="P6" s="79">
        <f t="shared" si="12"/>
        <v>0.9907100000000001</v>
      </c>
      <c r="R6">
        <v>130</v>
      </c>
      <c r="S6" s="79">
        <f t="shared" si="9"/>
        <v>0.5346138899601335</v>
      </c>
      <c r="T6" s="79">
        <f t="shared" si="10"/>
        <v>0.9833712166527093</v>
      </c>
      <c r="U6" s="79">
        <f t="shared" si="13"/>
        <v>0.9787</v>
      </c>
    </row>
    <row r="7" spans="1:24" ht="12.75">
      <c r="A7" s="65">
        <v>3.43</v>
      </c>
      <c r="B7" s="66">
        <f t="shared" si="0"/>
        <v>64.30000000000001</v>
      </c>
      <c r="C7" s="179">
        <f>(B7*Calculator!$C$13*Calculator!$C$14*(Calculator!$C$15-'T-mains'!$N$12))*365/10^3/3.412</f>
        <v>2182.2823155163164</v>
      </c>
      <c r="D7" s="66">
        <v>2448</v>
      </c>
      <c r="E7" s="66">
        <v>287</v>
      </c>
      <c r="F7" s="66">
        <f t="shared" si="1"/>
        <v>2161</v>
      </c>
      <c r="G7" s="67">
        <f t="shared" si="2"/>
        <v>0.8827614379084967</v>
      </c>
      <c r="H7" s="68">
        <f t="shared" si="3"/>
        <v>7.6037711342031935</v>
      </c>
      <c r="I7" s="69">
        <f t="shared" si="4"/>
        <v>1</v>
      </c>
      <c r="J7" s="66">
        <f t="shared" si="5"/>
        <v>3.43</v>
      </c>
      <c r="K7" s="66">
        <f t="shared" si="6"/>
        <v>11.7649</v>
      </c>
      <c r="L7" s="69">
        <f t="shared" si="11"/>
        <v>1.01930263</v>
      </c>
      <c r="M7" s="77"/>
      <c r="N7" s="95">
        <f t="shared" si="7"/>
        <v>0.8914551942468613</v>
      </c>
      <c r="O7" s="95">
        <f t="shared" si="8"/>
        <v>1</v>
      </c>
      <c r="P7" s="95">
        <f t="shared" si="12"/>
        <v>0.998605531</v>
      </c>
      <c r="Q7" s="66"/>
      <c r="R7" s="66">
        <v>137</v>
      </c>
      <c r="S7" s="95">
        <f t="shared" si="9"/>
        <v>0.5436541978317223</v>
      </c>
      <c r="T7" s="95">
        <f t="shared" si="10"/>
        <v>1</v>
      </c>
      <c r="U7" s="95">
        <f t="shared" si="13"/>
        <v>1.00055991</v>
      </c>
      <c r="V7" s="180" t="s">
        <v>251</v>
      </c>
      <c r="W7" s="66"/>
      <c r="X7" s="66"/>
    </row>
    <row r="8" spans="1:21" ht="12.75">
      <c r="A8">
        <v>4</v>
      </c>
      <c r="B8">
        <f t="shared" si="0"/>
        <v>70</v>
      </c>
      <c r="C8" s="2">
        <f>(B8*Calculator!$C$13*Calculator!$C$14*(Calculator!$C$15-'T-mains'!$N$12))*365/10^3/3.412</f>
        <v>2375.7350246678393</v>
      </c>
      <c r="D8">
        <v>2643</v>
      </c>
      <c r="E8">
        <v>355</v>
      </c>
      <c r="F8">
        <f t="shared" si="1"/>
        <v>2288</v>
      </c>
      <c r="G8" s="34">
        <f t="shared" si="2"/>
        <v>0.8656829360575105</v>
      </c>
      <c r="H8" s="64">
        <f t="shared" si="3"/>
        <v>6.692211337092505</v>
      </c>
      <c r="I8" s="43">
        <f t="shared" si="4"/>
        <v>0.8801174073992942</v>
      </c>
      <c r="J8">
        <f t="shared" si="5"/>
        <v>4</v>
      </c>
      <c r="K8">
        <f t="shared" si="6"/>
        <v>16</v>
      </c>
      <c r="L8" s="43">
        <f t="shared" si="11"/>
        <v>0.8872000000000002</v>
      </c>
      <c r="N8" s="79">
        <f t="shared" si="7"/>
        <v>0.8988781780809078</v>
      </c>
      <c r="O8" s="79">
        <f t="shared" si="8"/>
        <v>1.0083268165152346</v>
      </c>
      <c r="P8" s="79">
        <f t="shared" si="12"/>
        <v>1.0080399999999998</v>
      </c>
      <c r="R8">
        <v>145</v>
      </c>
      <c r="S8" s="79">
        <f t="shared" si="9"/>
        <v>0.5591938389238177</v>
      </c>
      <c r="T8" s="79">
        <f t="shared" si="10"/>
        <v>1.0285836863838682</v>
      </c>
      <c r="U8" s="79">
        <f t="shared" si="13"/>
        <v>1.0272</v>
      </c>
    </row>
    <row r="9" spans="1:21" ht="12.75">
      <c r="A9">
        <v>5</v>
      </c>
      <c r="B9">
        <f t="shared" si="0"/>
        <v>80</v>
      </c>
      <c r="C9" s="2">
        <f>(B9*Calculator!$C$13*Calculator!$C$14*(Calculator!$C$15-'T-mains'!$N$12))*365/10^3/3.412</f>
        <v>2715.125742477531</v>
      </c>
      <c r="D9">
        <v>2987</v>
      </c>
      <c r="E9">
        <v>498</v>
      </c>
      <c r="F9">
        <f t="shared" si="1"/>
        <v>2489</v>
      </c>
      <c r="G9" s="34">
        <f t="shared" si="2"/>
        <v>0.8332775359892869</v>
      </c>
      <c r="H9" s="64">
        <f t="shared" si="3"/>
        <v>5.452059723850463</v>
      </c>
      <c r="I9" s="43">
        <f t="shared" si="4"/>
        <v>0.7170204925456097</v>
      </c>
      <c r="J9">
        <f t="shared" si="5"/>
        <v>5</v>
      </c>
      <c r="K9">
        <f t="shared" si="6"/>
        <v>25</v>
      </c>
      <c r="L9" s="43">
        <f t="shared" si="11"/>
        <v>0.7005000000000001</v>
      </c>
      <c r="N9" s="79">
        <f t="shared" si="7"/>
        <v>0.9089808310939173</v>
      </c>
      <c r="O9" s="79">
        <f t="shared" si="8"/>
        <v>1.0196595823998338</v>
      </c>
      <c r="P9" s="79">
        <f t="shared" si="12"/>
        <v>1.02175</v>
      </c>
      <c r="R9">
        <v>160</v>
      </c>
      <c r="S9" s="79">
        <f t="shared" si="9"/>
        <v>0.5791650474568112</v>
      </c>
      <c r="T9" s="79">
        <f t="shared" si="10"/>
        <v>1.065318818040435</v>
      </c>
      <c r="U9" s="79">
        <f t="shared" si="13"/>
        <v>1.0675</v>
      </c>
    </row>
    <row r="10" spans="1:21" ht="12.75">
      <c r="A10">
        <v>6</v>
      </c>
      <c r="B10">
        <f t="shared" si="0"/>
        <v>90</v>
      </c>
      <c r="C10" s="2">
        <f>(B10*Calculator!$C$13*Calculator!$C$14*(Calculator!$C$15-'T-mains'!$N$12))*365/10^3/3.412</f>
        <v>3054.5164602872223</v>
      </c>
      <c r="D10">
        <v>3328</v>
      </c>
      <c r="E10">
        <v>668</v>
      </c>
      <c r="F10">
        <f t="shared" si="1"/>
        <v>2660</v>
      </c>
      <c r="G10" s="34">
        <f t="shared" si="2"/>
        <v>0.7992788461538461</v>
      </c>
      <c r="H10" s="64">
        <f t="shared" si="3"/>
        <v>4.572629431567698</v>
      </c>
      <c r="I10" s="43">
        <f t="shared" si="4"/>
        <v>0.6013633696836496</v>
      </c>
      <c r="J10">
        <f t="shared" si="5"/>
        <v>6</v>
      </c>
      <c r="K10">
        <f t="shared" si="6"/>
        <v>36</v>
      </c>
      <c r="L10" s="43">
        <f t="shared" si="11"/>
        <v>0.5712000000000002</v>
      </c>
      <c r="N10" s="79">
        <f t="shared" si="7"/>
        <v>0.917823455615151</v>
      </c>
      <c r="O10" s="79">
        <f t="shared" si="8"/>
        <v>1.0295788969972481</v>
      </c>
      <c r="P10" s="79">
        <f t="shared" si="12"/>
        <v>1.0318399999999999</v>
      </c>
      <c r="R10">
        <v>175</v>
      </c>
      <c r="S10" s="79">
        <f t="shared" si="9"/>
        <v>0.5957126202412916</v>
      </c>
      <c r="T10" s="79">
        <f t="shared" si="10"/>
        <v>1.095756498555876</v>
      </c>
      <c r="U10" s="79">
        <f t="shared" si="13"/>
        <v>1.0996000000000001</v>
      </c>
    </row>
    <row r="11" spans="1:21" ht="12.75">
      <c r="A11">
        <v>7</v>
      </c>
      <c r="B11">
        <f t="shared" si="0"/>
        <v>100</v>
      </c>
      <c r="C11" s="2">
        <f>(B11*Calculator!$C$13*Calculator!$C$14*(Calculator!$C$15-'T-mains'!$N$12))*365/10^3/3.412</f>
        <v>3393.9071780969143</v>
      </c>
      <c r="D11">
        <v>3670</v>
      </c>
      <c r="E11">
        <v>864</v>
      </c>
      <c r="F11">
        <f t="shared" si="1"/>
        <v>2806</v>
      </c>
      <c r="G11" s="34">
        <f t="shared" si="2"/>
        <v>0.7645776566757493</v>
      </c>
      <c r="H11" s="64">
        <f t="shared" si="3"/>
        <v>3.92813330798254</v>
      </c>
      <c r="I11" s="43">
        <f t="shared" si="4"/>
        <v>0.5166033062611599</v>
      </c>
      <c r="J11">
        <f t="shared" si="5"/>
        <v>7</v>
      </c>
      <c r="K11">
        <f t="shared" si="6"/>
        <v>49</v>
      </c>
      <c r="L11" s="43">
        <f t="shared" si="11"/>
        <v>0.49929999999999986</v>
      </c>
      <c r="N11" s="79">
        <f t="shared" si="7"/>
        <v>0.92477034825529</v>
      </c>
      <c r="O11" s="79">
        <f t="shared" si="8"/>
        <v>1.037371652802556</v>
      </c>
      <c r="P11" s="79">
        <f t="shared" si="12"/>
        <v>1.03831</v>
      </c>
      <c r="R11">
        <v>190</v>
      </c>
      <c r="S11" s="79">
        <f t="shared" si="9"/>
        <v>0.6096474183755909</v>
      </c>
      <c r="T11" s="79">
        <f t="shared" si="10"/>
        <v>1.1213882295162476</v>
      </c>
      <c r="U11" s="79">
        <f t="shared" si="13"/>
        <v>1.1235</v>
      </c>
    </row>
    <row r="12" spans="1:21" ht="12.75">
      <c r="A12">
        <v>8</v>
      </c>
      <c r="B12">
        <f t="shared" si="0"/>
        <v>110</v>
      </c>
      <c r="C12" s="2">
        <f>(B12*Calculator!$C$13*Calculator!$C$14*(Calculator!$C$15-'T-mains'!$N$12))*365/10^3/3.412</f>
        <v>3733.297895906605</v>
      </c>
      <c r="D12">
        <v>4014</v>
      </c>
      <c r="E12">
        <v>1084</v>
      </c>
      <c r="F12">
        <f t="shared" si="1"/>
        <v>2930</v>
      </c>
      <c r="G12" s="34">
        <f t="shared" si="2"/>
        <v>0.7299451918285998</v>
      </c>
      <c r="H12" s="64">
        <f t="shared" si="3"/>
        <v>3.444001748991333</v>
      </c>
      <c r="I12" s="43">
        <f t="shared" si="4"/>
        <v>0.4529333784784191</v>
      </c>
      <c r="J12">
        <f t="shared" si="5"/>
        <v>8</v>
      </c>
      <c r="K12">
        <f t="shared" si="6"/>
        <v>64</v>
      </c>
      <c r="L12" s="43">
        <f t="shared" si="11"/>
        <v>0.4848000000000001</v>
      </c>
      <c r="N12" s="79">
        <f t="shared" si="7"/>
        <v>0.9300692316658209</v>
      </c>
      <c r="O12" s="79">
        <f t="shared" si="8"/>
        <v>1.0433157355166711</v>
      </c>
      <c r="P12" s="79">
        <f t="shared" si="12"/>
        <v>1.04116</v>
      </c>
      <c r="R12">
        <v>205</v>
      </c>
      <c r="S12" s="79">
        <f t="shared" si="9"/>
        <v>0.6215429777585291</v>
      </c>
      <c r="T12" s="79">
        <f t="shared" si="10"/>
        <v>1.1432689754580276</v>
      </c>
      <c r="U12" s="79">
        <f t="shared" si="13"/>
        <v>1.1392000000000002</v>
      </c>
    </row>
    <row r="14" spans="1:18" ht="12.75">
      <c r="A14" t="s">
        <v>176</v>
      </c>
      <c r="R14" t="s">
        <v>306</v>
      </c>
    </row>
    <row r="15" ht="12.75">
      <c r="A15" t="s">
        <v>202</v>
      </c>
    </row>
    <row r="17" spans="2:24" ht="12.75">
      <c r="B17" t="s">
        <v>293</v>
      </c>
      <c r="N17" t="s">
        <v>292</v>
      </c>
      <c r="X17" t="s">
        <v>310</v>
      </c>
    </row>
    <row r="18" spans="2:24" ht="12.75">
      <c r="B18" t="s">
        <v>177</v>
      </c>
      <c r="N18" t="s">
        <v>177</v>
      </c>
      <c r="X18" t="s">
        <v>177</v>
      </c>
    </row>
    <row r="19" ht="13.5" thickBot="1"/>
    <row r="20" spans="2:25" ht="12.75">
      <c r="B20" s="70" t="s">
        <v>178</v>
      </c>
      <c r="C20" s="70"/>
      <c r="N20" s="70" t="s">
        <v>178</v>
      </c>
      <c r="O20" s="70"/>
      <c r="X20" s="70" t="s">
        <v>178</v>
      </c>
      <c r="Y20" s="70"/>
    </row>
    <row r="21" spans="2:25" ht="12.75">
      <c r="B21" s="71" t="s">
        <v>179</v>
      </c>
      <c r="C21" s="71">
        <v>0.9985027048260432</v>
      </c>
      <c r="N21" s="71" t="s">
        <v>179</v>
      </c>
      <c r="O21" s="71">
        <v>1</v>
      </c>
      <c r="X21" s="71" t="s">
        <v>179</v>
      </c>
      <c r="Y21" s="71">
        <v>0.9992551915056302</v>
      </c>
    </row>
    <row r="22" spans="2:25" ht="12.75">
      <c r="B22" s="71" t="s">
        <v>180</v>
      </c>
      <c r="C22" s="71">
        <v>0.9970076515449243</v>
      </c>
      <c r="N22" s="71" t="s">
        <v>180</v>
      </c>
      <c r="O22" s="71">
        <v>1</v>
      </c>
      <c r="X22" s="71" t="s">
        <v>180</v>
      </c>
      <c r="Y22" s="71">
        <v>0.9985109377509537</v>
      </c>
    </row>
    <row r="23" spans="2:25" ht="12.75">
      <c r="B23" s="71" t="s">
        <v>181</v>
      </c>
      <c r="C23" s="71">
        <v>0.9960102020598991</v>
      </c>
      <c r="N23" s="71" t="s">
        <v>181</v>
      </c>
      <c r="O23" s="71">
        <v>1</v>
      </c>
      <c r="X23" s="71" t="s">
        <v>181</v>
      </c>
      <c r="Y23" s="71">
        <v>0.9980145836679383</v>
      </c>
    </row>
    <row r="24" spans="2:25" ht="12.75">
      <c r="B24" s="71" t="s">
        <v>182</v>
      </c>
      <c r="C24" s="71">
        <v>0.028392808296208553</v>
      </c>
      <c r="N24" s="71" t="s">
        <v>182</v>
      </c>
      <c r="O24" s="71">
        <v>9.487274956770416E-17</v>
      </c>
      <c r="X24" s="71" t="s">
        <v>182</v>
      </c>
      <c r="Y24" s="71">
        <v>0.004222520190354899</v>
      </c>
    </row>
    <row r="25" spans="2:25" ht="13.5" thickBot="1">
      <c r="B25" s="72" t="s">
        <v>183</v>
      </c>
      <c r="C25" s="72">
        <v>9</v>
      </c>
      <c r="N25" s="72" t="s">
        <v>183</v>
      </c>
      <c r="O25" s="72">
        <v>9</v>
      </c>
      <c r="X25" s="72" t="s">
        <v>183</v>
      </c>
      <c r="Y25" s="72">
        <v>9</v>
      </c>
    </row>
    <row r="27" spans="2:24" ht="13.5" thickBot="1">
      <c r="B27" t="s">
        <v>184</v>
      </c>
      <c r="N27" t="s">
        <v>184</v>
      </c>
      <c r="X27" t="s">
        <v>184</v>
      </c>
    </row>
    <row r="28" spans="2:29" ht="12.75">
      <c r="B28" s="73"/>
      <c r="C28" s="73" t="s">
        <v>185</v>
      </c>
      <c r="D28" s="73" t="s">
        <v>186</v>
      </c>
      <c r="E28" s="73" t="s">
        <v>187</v>
      </c>
      <c r="F28" s="73" t="s">
        <v>3</v>
      </c>
      <c r="G28" s="73" t="s">
        <v>188</v>
      </c>
      <c r="N28" s="73"/>
      <c r="O28" s="73" t="s">
        <v>185</v>
      </c>
      <c r="P28" s="73" t="s">
        <v>186</v>
      </c>
      <c r="Q28" s="73" t="s">
        <v>187</v>
      </c>
      <c r="R28" s="73" t="s">
        <v>3</v>
      </c>
      <c r="S28" s="73" t="s">
        <v>188</v>
      </c>
      <c r="X28" s="73"/>
      <c r="Y28" s="73" t="s">
        <v>185</v>
      </c>
      <c r="Z28" s="73" t="s">
        <v>186</v>
      </c>
      <c r="AA28" s="73" t="s">
        <v>187</v>
      </c>
      <c r="AB28" s="73" t="s">
        <v>3</v>
      </c>
      <c r="AC28" s="73" t="s">
        <v>188</v>
      </c>
    </row>
    <row r="29" spans="2:29" ht="12.75">
      <c r="B29" s="71" t="s">
        <v>189</v>
      </c>
      <c r="C29" s="71">
        <v>2</v>
      </c>
      <c r="D29" s="71">
        <v>1.611588934834072</v>
      </c>
      <c r="E29" s="71">
        <v>0.805794467417036</v>
      </c>
      <c r="F29" s="71">
        <v>999.5570367352404</v>
      </c>
      <c r="G29" s="71">
        <v>2.6793934754759478E-08</v>
      </c>
      <c r="N29" s="71" t="s">
        <v>189</v>
      </c>
      <c r="O29" s="71">
        <v>2</v>
      </c>
      <c r="P29" s="71">
        <v>0.008491463587912838</v>
      </c>
      <c r="Q29" s="71">
        <v>0.004245731793956419</v>
      </c>
      <c r="R29" s="71">
        <v>4.717040242212986E+29</v>
      </c>
      <c r="S29" s="71">
        <v>2.572497848222766E-88</v>
      </c>
      <c r="X29" s="71" t="s">
        <v>189</v>
      </c>
      <c r="Y29" s="71">
        <v>2</v>
      </c>
      <c r="Z29" s="71">
        <v>0.07173559307188337</v>
      </c>
      <c r="AA29" s="71">
        <v>0.03586779653594169</v>
      </c>
      <c r="AB29" s="71">
        <v>2011.6907907452185</v>
      </c>
      <c r="AC29" s="71">
        <v>3.3017072273655824E-09</v>
      </c>
    </row>
    <row r="30" spans="2:29" ht="12.75">
      <c r="B30" s="71" t="s">
        <v>190</v>
      </c>
      <c r="C30" s="71">
        <v>6</v>
      </c>
      <c r="D30" s="71">
        <v>0.004836909377671495</v>
      </c>
      <c r="E30" s="71">
        <v>0.0008061515629452492</v>
      </c>
      <c r="F30" s="71"/>
      <c r="G30" s="71"/>
      <c r="N30" s="71" t="s">
        <v>190</v>
      </c>
      <c r="O30" s="71">
        <v>6</v>
      </c>
      <c r="P30" s="71">
        <v>5.400503166321786E-32</v>
      </c>
      <c r="Q30" s="71">
        <v>9.00083861053631E-33</v>
      </c>
      <c r="R30" s="71"/>
      <c r="S30" s="71"/>
      <c r="X30" s="71" t="s">
        <v>190</v>
      </c>
      <c r="Y30" s="71">
        <v>6</v>
      </c>
      <c r="Z30" s="71">
        <v>0.00010697806054772866</v>
      </c>
      <c r="AA30" s="71">
        <v>1.7829676757954776E-05</v>
      </c>
      <c r="AB30" s="71"/>
      <c r="AC30" s="71"/>
    </row>
    <row r="31" spans="2:29" ht="13.5" thickBot="1">
      <c r="B31" s="72" t="s">
        <v>191</v>
      </c>
      <c r="C31" s="72">
        <v>8</v>
      </c>
      <c r="D31" s="72">
        <v>1.6164258442117434</v>
      </c>
      <c r="E31" s="72"/>
      <c r="F31" s="72"/>
      <c r="G31" s="72"/>
      <c r="N31" s="72" t="s">
        <v>191</v>
      </c>
      <c r="O31" s="72">
        <v>8</v>
      </c>
      <c r="P31" s="72">
        <v>0.008491463587912838</v>
      </c>
      <c r="Q31" s="72"/>
      <c r="R31" s="72"/>
      <c r="S31" s="72"/>
      <c r="X31" s="72" t="s">
        <v>191</v>
      </c>
      <c r="Y31" s="72">
        <v>8</v>
      </c>
      <c r="Z31" s="72">
        <v>0.0718425711324311</v>
      </c>
      <c r="AA31" s="72"/>
      <c r="AB31" s="72"/>
      <c r="AC31" s="72"/>
    </row>
    <row r="32" ht="13.5" thickBot="1"/>
    <row r="33" spans="2:32" ht="12.75">
      <c r="B33" s="73"/>
      <c r="C33" s="73" t="s">
        <v>192</v>
      </c>
      <c r="D33" s="73" t="s">
        <v>182</v>
      </c>
      <c r="E33" s="73" t="s">
        <v>193</v>
      </c>
      <c r="F33" s="73" t="s">
        <v>194</v>
      </c>
      <c r="G33" s="73" t="s">
        <v>195</v>
      </c>
      <c r="H33" s="73" t="s">
        <v>196</v>
      </c>
      <c r="I33" s="73" t="s">
        <v>197</v>
      </c>
      <c r="J33" s="73" t="s">
        <v>198</v>
      </c>
      <c r="K33" s="73"/>
      <c r="N33" s="73"/>
      <c r="O33" s="73" t="s">
        <v>192</v>
      </c>
      <c r="P33" s="73" t="s">
        <v>182</v>
      </c>
      <c r="Q33" s="73" t="s">
        <v>193</v>
      </c>
      <c r="R33" s="73" t="s">
        <v>194</v>
      </c>
      <c r="S33" s="73" t="s">
        <v>195</v>
      </c>
      <c r="T33" s="73" t="s">
        <v>196</v>
      </c>
      <c r="U33" s="73" t="s">
        <v>197</v>
      </c>
      <c r="V33" s="73" t="s">
        <v>198</v>
      </c>
      <c r="X33" s="73"/>
      <c r="Y33" s="73" t="s">
        <v>192</v>
      </c>
      <c r="Z33" s="73" t="s">
        <v>182</v>
      </c>
      <c r="AA33" s="73" t="s">
        <v>193</v>
      </c>
      <c r="AB33" s="73" t="s">
        <v>194</v>
      </c>
      <c r="AC33" s="73" t="s">
        <v>195</v>
      </c>
      <c r="AD33" s="73" t="s">
        <v>196</v>
      </c>
      <c r="AE33" s="73" t="s">
        <v>197</v>
      </c>
      <c r="AF33" s="73" t="s">
        <v>198</v>
      </c>
    </row>
    <row r="34" spans="2:32" ht="12.75">
      <c r="B34" s="71" t="s">
        <v>199</v>
      </c>
      <c r="C34" s="71">
        <v>2.2076694180632015</v>
      </c>
      <c r="D34" s="71">
        <v>0.03948106879488069</v>
      </c>
      <c r="E34" s="71">
        <v>55.91716449047749</v>
      </c>
      <c r="F34" s="71">
        <v>2.197087430107949E-09</v>
      </c>
      <c r="G34" s="71">
        <v>2.111062723119184</v>
      </c>
      <c r="H34" s="71">
        <v>2.304276113007219</v>
      </c>
      <c r="I34" s="71">
        <v>2.111062723119184</v>
      </c>
      <c r="J34" s="71">
        <v>2.304276113007219</v>
      </c>
      <c r="K34" s="71"/>
      <c r="N34" s="71" t="s">
        <v>199</v>
      </c>
      <c r="O34" s="71">
        <v>0.9170000000000001</v>
      </c>
      <c r="P34" s="71">
        <v>1.3192346151057538E-16</v>
      </c>
      <c r="Q34" s="71">
        <v>6951000144326039</v>
      </c>
      <c r="R34" s="71">
        <v>5.984391365281799E-94</v>
      </c>
      <c r="S34" s="71">
        <v>0.9169999999999998</v>
      </c>
      <c r="T34" s="71">
        <v>0.9170000000000005</v>
      </c>
      <c r="U34" s="71">
        <v>0.9169999999999998</v>
      </c>
      <c r="V34" s="71">
        <v>0.9170000000000005</v>
      </c>
      <c r="X34" s="71" t="s">
        <v>199</v>
      </c>
      <c r="Y34" s="71">
        <v>0.7840688702407912</v>
      </c>
      <c r="Z34" s="71">
        <v>0.005871543539616551</v>
      </c>
      <c r="AA34" s="71">
        <v>133.53709547591907</v>
      </c>
      <c r="AB34" s="71">
        <v>1.1893473149684174E-11</v>
      </c>
      <c r="AC34" s="71">
        <v>0.7697017207968582</v>
      </c>
      <c r="AD34" s="71">
        <v>0.7984360196847242</v>
      </c>
      <c r="AE34" s="71">
        <v>0.7697017207968582</v>
      </c>
      <c r="AF34" s="71">
        <v>0.7984360196847242</v>
      </c>
    </row>
    <row r="35" spans="2:32" ht="12.75">
      <c r="B35" s="71" t="s">
        <v>200</v>
      </c>
      <c r="C35" s="71">
        <v>-0.4450648688216734</v>
      </c>
      <c r="D35" s="71">
        <v>0.019584224306938697</v>
      </c>
      <c r="E35" s="71">
        <v>-22.725682766204162</v>
      </c>
      <c r="F35" s="71">
        <v>4.753704842860976E-07</v>
      </c>
      <c r="G35" s="71">
        <v>-0.49298573928151657</v>
      </c>
      <c r="H35" s="71">
        <v>-0.39714399836183023</v>
      </c>
      <c r="I35" s="71">
        <v>-0.49298573928151657</v>
      </c>
      <c r="J35" s="71">
        <v>-0.39714399836183023</v>
      </c>
      <c r="K35" s="71"/>
      <c r="N35" s="71" t="s">
        <v>200</v>
      </c>
      <c r="O35" s="71">
        <v>0.029999999999999884</v>
      </c>
      <c r="P35" s="71">
        <v>6.543943060391282E-17</v>
      </c>
      <c r="Q35" s="71">
        <v>458439196721954.56</v>
      </c>
      <c r="R35" s="71">
        <v>7.271320967012035E-87</v>
      </c>
      <c r="S35" s="71">
        <v>0.029999999999999725</v>
      </c>
      <c r="T35" s="71">
        <v>0.03</v>
      </c>
      <c r="U35" s="71">
        <v>0.029999999999999725</v>
      </c>
      <c r="V35" s="71">
        <v>0.03</v>
      </c>
      <c r="X35" s="71" t="s">
        <v>200</v>
      </c>
      <c r="Y35" s="71">
        <v>0.07717984216383193</v>
      </c>
      <c r="Z35" s="71">
        <v>0.002912525653882942</v>
      </c>
      <c r="AA35" s="71">
        <v>26.499283211784505</v>
      </c>
      <c r="AB35" s="71">
        <v>1.9063318988547533E-07</v>
      </c>
      <c r="AC35" s="71">
        <v>0.07005314863830667</v>
      </c>
      <c r="AD35" s="71">
        <v>0.0843065356893572</v>
      </c>
      <c r="AE35" s="71">
        <v>0.07005314863830667</v>
      </c>
      <c r="AF35" s="71">
        <v>0.0843065356893572</v>
      </c>
    </row>
    <row r="36" spans="2:32" ht="13.5" thickBot="1">
      <c r="B36" s="72" t="s">
        <v>201</v>
      </c>
      <c r="C36" s="72">
        <v>0.02868337002318656</v>
      </c>
      <c r="D36" s="72">
        <v>0.0021010103101864533</v>
      </c>
      <c r="E36" s="72">
        <v>13.652179565287838</v>
      </c>
      <c r="F36" s="72">
        <v>9.593039918302258E-06</v>
      </c>
      <c r="G36" s="72">
        <v>0.023542383005714124</v>
      </c>
      <c r="H36" s="72">
        <v>0.033824357040658996</v>
      </c>
      <c r="I36" s="72">
        <v>0.023542383005714124</v>
      </c>
      <c r="J36" s="72">
        <v>0.033824357040658996</v>
      </c>
      <c r="K36" s="72"/>
      <c r="N36" s="72" t="s">
        <v>201</v>
      </c>
      <c r="O36" s="72">
        <v>-0.001809999999999987</v>
      </c>
      <c r="P36" s="72">
        <v>7.02039132297108E-18</v>
      </c>
      <c r="Q36" s="72">
        <v>-257820385891819.75</v>
      </c>
      <c r="R36" s="72">
        <v>2.2982657669310674E-85</v>
      </c>
      <c r="S36" s="72">
        <v>-0.001810000000000004</v>
      </c>
      <c r="T36" s="72">
        <v>-0.0018099999999999698</v>
      </c>
      <c r="U36" s="72">
        <v>-0.001810000000000004</v>
      </c>
      <c r="V36" s="72">
        <v>-0.0018099999999999698</v>
      </c>
      <c r="X36" s="72" t="s">
        <v>201</v>
      </c>
      <c r="Y36" s="72">
        <v>-0.004094801054514072</v>
      </c>
      <c r="Z36" s="72">
        <v>0.0003124579422490863</v>
      </c>
      <c r="AA36" s="72">
        <v>-13.105127125396494</v>
      </c>
      <c r="AB36" s="72">
        <v>1.2175644544599015E-05</v>
      </c>
      <c r="AC36" s="72">
        <v>-0.004859358094915341</v>
      </c>
      <c r="AD36" s="72">
        <v>-0.0033302440141128042</v>
      </c>
      <c r="AE36" s="72">
        <v>-0.004859358094915341</v>
      </c>
      <c r="AF36" s="72">
        <v>-0.0033302440141128042</v>
      </c>
    </row>
    <row r="39" spans="1:12" ht="12.75">
      <c r="A39" s="189"/>
      <c r="B39" s="189"/>
      <c r="C39" s="189"/>
      <c r="D39" s="189"/>
      <c r="E39" s="189"/>
      <c r="F39" s="189"/>
      <c r="G39" s="189"/>
      <c r="H39" s="189"/>
      <c r="I39" s="189"/>
      <c r="J39" s="189"/>
      <c r="K39" s="189"/>
      <c r="L39" s="189"/>
    </row>
    <row r="40" spans="1:12" ht="12.75">
      <c r="A40" s="97"/>
      <c r="B40" s="97"/>
      <c r="C40" s="97"/>
      <c r="D40" s="97"/>
      <c r="E40" s="97"/>
      <c r="F40" s="97"/>
      <c r="G40" s="97"/>
      <c r="H40" s="97"/>
      <c r="I40" s="97"/>
      <c r="J40" s="97"/>
      <c r="K40" s="97"/>
      <c r="L40" s="97"/>
    </row>
    <row r="41" spans="1:12" ht="12.75">
      <c r="A41" s="189"/>
      <c r="B41" s="189"/>
      <c r="C41" s="190"/>
      <c r="D41" s="189"/>
      <c r="E41" s="189"/>
      <c r="F41" s="189"/>
      <c r="G41" s="191"/>
      <c r="H41" s="192"/>
      <c r="I41" s="193"/>
      <c r="J41" s="189"/>
      <c r="K41" s="189"/>
      <c r="L41" s="193"/>
    </row>
    <row r="42" spans="1:12" ht="12.75">
      <c r="A42" s="189"/>
      <c r="B42" s="189"/>
      <c r="C42" s="190"/>
      <c r="D42" s="189"/>
      <c r="E42" s="189"/>
      <c r="F42" s="189"/>
      <c r="G42" s="191"/>
      <c r="H42" s="192"/>
      <c r="I42" s="193"/>
      <c r="J42" s="189"/>
      <c r="K42" s="189"/>
      <c r="L42" s="193"/>
    </row>
    <row r="43" spans="1:12" ht="12.75">
      <c r="A43" s="189"/>
      <c r="B43" s="189"/>
      <c r="C43" s="190"/>
      <c r="D43" s="189"/>
      <c r="E43" s="189"/>
      <c r="F43" s="189"/>
      <c r="G43" s="191"/>
      <c r="H43" s="192"/>
      <c r="I43" s="193"/>
      <c r="J43" s="189"/>
      <c r="K43" s="189"/>
      <c r="L43" s="193"/>
    </row>
    <row r="44" spans="1:12" ht="12.75">
      <c r="A44" s="97"/>
      <c r="B44" s="189"/>
      <c r="C44" s="190"/>
      <c r="D44" s="189"/>
      <c r="E44" s="189"/>
      <c r="F44" s="189"/>
      <c r="G44" s="191"/>
      <c r="H44" s="192"/>
      <c r="I44" s="193"/>
      <c r="J44" s="189"/>
      <c r="K44" s="189"/>
      <c r="L44" s="193"/>
    </row>
    <row r="45" spans="1:12" ht="12.75">
      <c r="A45" s="189"/>
      <c r="B45" s="189"/>
      <c r="C45" s="190"/>
      <c r="D45" s="189"/>
      <c r="E45" s="189"/>
      <c r="F45" s="189"/>
      <c r="G45" s="191"/>
      <c r="H45" s="192"/>
      <c r="I45" s="193"/>
      <c r="J45" s="189"/>
      <c r="K45" s="189"/>
      <c r="L45" s="193"/>
    </row>
    <row r="46" spans="1:12" ht="12.75">
      <c r="A46" s="189"/>
      <c r="B46" s="189"/>
      <c r="C46" s="190"/>
      <c r="D46" s="189"/>
      <c r="E46" s="189"/>
      <c r="F46" s="189"/>
      <c r="G46" s="191"/>
      <c r="H46" s="192"/>
      <c r="I46" s="193"/>
      <c r="J46" s="189"/>
      <c r="K46" s="189"/>
      <c r="L46" s="193"/>
    </row>
    <row r="47" spans="1:12" ht="12.75">
      <c r="A47" s="189"/>
      <c r="B47" s="189"/>
      <c r="C47" s="190"/>
      <c r="D47" s="189"/>
      <c r="E47" s="189"/>
      <c r="F47" s="189"/>
      <c r="G47" s="191"/>
      <c r="H47" s="192"/>
      <c r="I47" s="193"/>
      <c r="J47" s="189"/>
      <c r="K47" s="189"/>
      <c r="L47" s="193"/>
    </row>
    <row r="48" spans="1:12" ht="12.75">
      <c r="A48" s="189"/>
      <c r="B48" s="189"/>
      <c r="C48" s="190"/>
      <c r="D48" s="189"/>
      <c r="E48" s="189"/>
      <c r="F48" s="189"/>
      <c r="G48" s="191"/>
      <c r="H48" s="192"/>
      <c r="I48" s="193"/>
      <c r="J48" s="189"/>
      <c r="K48" s="189"/>
      <c r="L48" s="193"/>
    </row>
    <row r="49" spans="1:12" ht="12.75">
      <c r="A49" s="189"/>
      <c r="B49" s="189"/>
      <c r="C49" s="190"/>
      <c r="D49" s="189"/>
      <c r="E49" s="189"/>
      <c r="F49" s="189"/>
      <c r="G49" s="191"/>
      <c r="H49" s="192"/>
      <c r="I49" s="193"/>
      <c r="J49" s="189"/>
      <c r="K49" s="189"/>
      <c r="L49" s="193"/>
    </row>
    <row r="50" spans="1:12" ht="12.75">
      <c r="A50" s="189"/>
      <c r="B50" s="189"/>
      <c r="C50" s="189"/>
      <c r="D50" s="189"/>
      <c r="E50" s="189"/>
      <c r="F50" s="189"/>
      <c r="G50" s="189"/>
      <c r="H50" s="189"/>
      <c r="I50" s="189"/>
      <c r="J50" s="189"/>
      <c r="K50" s="189"/>
      <c r="L50" s="189"/>
    </row>
    <row r="51" spans="1:12" ht="12.75">
      <c r="A51" s="189"/>
      <c r="B51" s="189"/>
      <c r="C51" s="189"/>
      <c r="D51" s="189"/>
      <c r="E51" s="189"/>
      <c r="F51" s="189"/>
      <c r="G51" s="189"/>
      <c r="H51" s="189"/>
      <c r="I51" s="189"/>
      <c r="J51" s="189"/>
      <c r="K51" s="189"/>
      <c r="L51" s="189"/>
    </row>
    <row r="52" spans="1:12" ht="12.75">
      <c r="A52" s="189"/>
      <c r="B52" s="189"/>
      <c r="C52" s="189"/>
      <c r="D52" s="189"/>
      <c r="E52" s="189"/>
      <c r="F52" s="189"/>
      <c r="G52" s="189"/>
      <c r="H52" s="189"/>
      <c r="I52" s="189"/>
      <c r="J52" s="189"/>
      <c r="K52" s="189"/>
      <c r="L52" s="189"/>
    </row>
    <row r="53" spans="1:12" ht="12.75">
      <c r="A53" s="189"/>
      <c r="B53" s="189"/>
      <c r="C53" s="189"/>
      <c r="D53" s="189"/>
      <c r="E53" s="189"/>
      <c r="F53" s="189"/>
      <c r="G53" s="189"/>
      <c r="H53" s="189"/>
      <c r="I53" s="189"/>
      <c r="J53" s="189"/>
      <c r="K53" s="189"/>
      <c r="L53" s="189"/>
    </row>
    <row r="54" spans="1:12" ht="12.75">
      <c r="A54" s="189"/>
      <c r="B54" s="189"/>
      <c r="C54" s="189"/>
      <c r="D54" s="189"/>
      <c r="E54" s="189"/>
      <c r="F54" s="189"/>
      <c r="G54" s="189"/>
      <c r="H54" s="189"/>
      <c r="I54" s="189"/>
      <c r="J54" s="189"/>
      <c r="K54" s="189"/>
      <c r="L54" s="189"/>
    </row>
    <row r="55" spans="1:12" ht="12.75">
      <c r="A55" s="189"/>
      <c r="B55" s="189"/>
      <c r="C55" s="189"/>
      <c r="D55" s="189"/>
      <c r="E55" s="189"/>
      <c r="F55" s="189"/>
      <c r="G55" s="189"/>
      <c r="H55" s="189"/>
      <c r="I55" s="189"/>
      <c r="J55" s="189"/>
      <c r="K55" s="189"/>
      <c r="L55" s="189"/>
    </row>
    <row r="56" spans="1:12" ht="12.75">
      <c r="A56" s="189"/>
      <c r="B56" s="189"/>
      <c r="C56" s="189"/>
      <c r="D56" s="189"/>
      <c r="E56" s="189"/>
      <c r="F56" s="189"/>
      <c r="G56" s="189"/>
      <c r="H56" s="189"/>
      <c r="I56" s="189"/>
      <c r="J56" s="189"/>
      <c r="K56" s="189"/>
      <c r="L56" s="189"/>
    </row>
    <row r="57" spans="1:12" ht="12.75">
      <c r="A57" s="189"/>
      <c r="B57" s="185"/>
      <c r="C57" s="185"/>
      <c r="D57" s="189"/>
      <c r="E57" s="189"/>
      <c r="F57" s="189"/>
      <c r="G57" s="189"/>
      <c r="H57" s="189"/>
      <c r="I57" s="189"/>
      <c r="J57" s="189"/>
      <c r="K57" s="189"/>
      <c r="L57" s="189"/>
    </row>
    <row r="58" spans="1:12" ht="12.75">
      <c r="A58" s="189"/>
      <c r="B58" s="71"/>
      <c r="C58" s="71"/>
      <c r="D58" s="189"/>
      <c r="E58" s="189"/>
      <c r="F58" s="189"/>
      <c r="G58" s="189"/>
      <c r="H58" s="189"/>
      <c r="I58" s="189"/>
      <c r="J58" s="189"/>
      <c r="K58" s="189"/>
      <c r="L58" s="189"/>
    </row>
    <row r="59" spans="1:12" ht="12.75">
      <c r="A59" s="189"/>
      <c r="B59" s="71"/>
      <c r="C59" s="71"/>
      <c r="D59" s="189"/>
      <c r="E59" s="189"/>
      <c r="F59" s="189"/>
      <c r="G59" s="189"/>
      <c r="H59" s="189"/>
      <c r="I59" s="189"/>
      <c r="J59" s="189"/>
      <c r="K59" s="189"/>
      <c r="L59" s="189"/>
    </row>
    <row r="60" spans="1:12" ht="12.75">
      <c r="A60" s="189"/>
      <c r="B60" s="71"/>
      <c r="C60" s="71"/>
      <c r="D60" s="189"/>
      <c r="E60" s="189"/>
      <c r="F60" s="189"/>
      <c r="G60" s="189"/>
      <c r="H60" s="189"/>
      <c r="I60" s="189"/>
      <c r="J60" s="189"/>
      <c r="K60" s="189"/>
      <c r="L60" s="189"/>
    </row>
    <row r="61" spans="1:12" ht="12.75">
      <c r="A61" s="189"/>
      <c r="B61" s="71"/>
      <c r="C61" s="71"/>
      <c r="D61" s="189"/>
      <c r="E61" s="189"/>
      <c r="F61" s="189"/>
      <c r="G61" s="189"/>
      <c r="H61" s="189"/>
      <c r="I61" s="189"/>
      <c r="J61" s="189"/>
      <c r="K61" s="189"/>
      <c r="L61" s="189"/>
    </row>
    <row r="62" spans="1:12" ht="12.75">
      <c r="A62" s="189"/>
      <c r="B62" s="71"/>
      <c r="C62" s="71"/>
      <c r="D62" s="189"/>
      <c r="E62" s="189"/>
      <c r="F62" s="189"/>
      <c r="G62" s="189"/>
      <c r="H62" s="189"/>
      <c r="I62" s="189"/>
      <c r="J62" s="189"/>
      <c r="K62" s="189"/>
      <c r="L62" s="189"/>
    </row>
    <row r="63" spans="1:12" ht="12.75">
      <c r="A63" s="189"/>
      <c r="B63" s="189"/>
      <c r="C63" s="189"/>
      <c r="D63" s="189"/>
      <c r="E63" s="189"/>
      <c r="F63" s="189"/>
      <c r="G63" s="189"/>
      <c r="H63" s="189"/>
      <c r="I63" s="189"/>
      <c r="J63" s="189"/>
      <c r="K63" s="189"/>
      <c r="L63" s="189"/>
    </row>
    <row r="64" spans="1:12" ht="12.75">
      <c r="A64" s="189"/>
      <c r="B64" s="189"/>
      <c r="C64" s="189"/>
      <c r="D64" s="189"/>
      <c r="E64" s="189"/>
      <c r="F64" s="189"/>
      <c r="G64" s="189"/>
      <c r="H64" s="189"/>
      <c r="I64" s="189"/>
      <c r="J64" s="189"/>
      <c r="K64" s="189"/>
      <c r="L64" s="189"/>
    </row>
    <row r="65" spans="1:12" ht="12.75">
      <c r="A65" s="189"/>
      <c r="B65" s="186"/>
      <c r="C65" s="186"/>
      <c r="D65" s="186"/>
      <c r="E65" s="186"/>
      <c r="F65" s="186"/>
      <c r="G65" s="186"/>
      <c r="H65" s="189"/>
      <c r="I65" s="189"/>
      <c r="J65" s="189"/>
      <c r="K65" s="189"/>
      <c r="L65" s="189"/>
    </row>
    <row r="66" spans="1:12" ht="12.75">
      <c r="A66" s="189"/>
      <c r="B66" s="71"/>
      <c r="C66" s="71"/>
      <c r="D66" s="71"/>
      <c r="E66" s="71"/>
      <c r="F66" s="71"/>
      <c r="G66" s="71"/>
      <c r="H66" s="189"/>
      <c r="I66" s="189"/>
      <c r="J66" s="189"/>
      <c r="K66" s="189"/>
      <c r="L66" s="189"/>
    </row>
    <row r="67" spans="1:12" ht="12.75">
      <c r="A67" s="189"/>
      <c r="B67" s="71"/>
      <c r="C67" s="71"/>
      <c r="D67" s="71"/>
      <c r="E67" s="71"/>
      <c r="F67" s="71"/>
      <c r="G67" s="71"/>
      <c r="H67" s="189"/>
      <c r="I67" s="189"/>
      <c r="J67" s="189"/>
      <c r="K67" s="189"/>
      <c r="L67" s="189"/>
    </row>
    <row r="68" spans="1:12" ht="12.75">
      <c r="A68" s="189"/>
      <c r="B68" s="71"/>
      <c r="C68" s="71"/>
      <c r="D68" s="71"/>
      <c r="E68" s="71"/>
      <c r="F68" s="71"/>
      <c r="G68" s="71"/>
      <c r="H68" s="189"/>
      <c r="I68" s="189"/>
      <c r="J68" s="189"/>
      <c r="K68" s="189"/>
      <c r="L68" s="189"/>
    </row>
    <row r="69" spans="1:12" ht="12.75">
      <c r="A69" s="189"/>
      <c r="B69" s="189"/>
      <c r="C69" s="189"/>
      <c r="D69" s="189"/>
      <c r="E69" s="189"/>
      <c r="F69" s="189"/>
      <c r="G69" s="189"/>
      <c r="H69" s="189"/>
      <c r="I69" s="189"/>
      <c r="J69" s="189"/>
      <c r="K69" s="189"/>
      <c r="L69" s="189"/>
    </row>
    <row r="70" spans="1:12" ht="12.75">
      <c r="A70" s="189"/>
      <c r="B70" s="186"/>
      <c r="C70" s="186"/>
      <c r="D70" s="186"/>
      <c r="E70" s="186"/>
      <c r="F70" s="186"/>
      <c r="G70" s="186"/>
      <c r="H70" s="186"/>
      <c r="I70" s="186"/>
      <c r="J70" s="186"/>
      <c r="K70" s="189"/>
      <c r="L70" s="189"/>
    </row>
    <row r="71" spans="1:12" ht="12.75">
      <c r="A71" s="189"/>
      <c r="B71" s="71"/>
      <c r="C71" s="71"/>
      <c r="D71" s="71"/>
      <c r="E71" s="71"/>
      <c r="F71" s="71"/>
      <c r="G71" s="71"/>
      <c r="H71" s="71"/>
      <c r="I71" s="71"/>
      <c r="J71" s="71"/>
      <c r="K71" s="189"/>
      <c r="L71" s="189"/>
    </row>
    <row r="72" spans="1:12" ht="12.75">
      <c r="A72" s="189"/>
      <c r="B72" s="71"/>
      <c r="C72" s="71"/>
      <c r="D72" s="71"/>
      <c r="E72" s="71"/>
      <c r="F72" s="71"/>
      <c r="G72" s="71"/>
      <c r="H72" s="71"/>
      <c r="I72" s="71"/>
      <c r="J72" s="71"/>
      <c r="K72" s="189"/>
      <c r="L72" s="189"/>
    </row>
    <row r="73" spans="1:12" ht="12.75">
      <c r="A73" s="189"/>
      <c r="B73" s="71"/>
      <c r="C73" s="71"/>
      <c r="D73" s="71"/>
      <c r="E73" s="71"/>
      <c r="F73" s="71"/>
      <c r="G73" s="71"/>
      <c r="H73" s="71"/>
      <c r="I73" s="71"/>
      <c r="J73" s="71"/>
      <c r="K73" s="189"/>
      <c r="L73" s="189"/>
    </row>
  </sheetData>
  <sheetProtection password="DC79" sheet="1" objects="1" scenarios="1"/>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19"/>
  <sheetViews>
    <sheetView workbookViewId="0" topLeftCell="A1">
      <selection activeCell="A1" sqref="A1:F1"/>
    </sheetView>
  </sheetViews>
  <sheetFormatPr defaultColWidth="9.140625" defaultRowHeight="12.75"/>
  <cols>
    <col min="1" max="1" width="23.8515625" style="0" customWidth="1"/>
  </cols>
  <sheetData>
    <row r="1" spans="1:6" ht="16.5" thickBot="1">
      <c r="A1" s="241" t="s">
        <v>249</v>
      </c>
      <c r="B1" s="239"/>
      <c r="C1" s="239"/>
      <c r="D1" s="239"/>
      <c r="E1" s="239"/>
      <c r="F1" s="239"/>
    </row>
    <row r="2" spans="1:6" ht="12.75" customHeight="1" thickTop="1">
      <c r="A2" s="228" t="s">
        <v>220</v>
      </c>
      <c r="B2" s="242" t="s">
        <v>223</v>
      </c>
      <c r="C2" s="248" t="s">
        <v>221</v>
      </c>
      <c r="D2" s="244" t="s">
        <v>219</v>
      </c>
      <c r="E2" s="245"/>
      <c r="F2" s="246"/>
    </row>
    <row r="3" spans="1:10" ht="12.75" customHeight="1" thickBot="1">
      <c r="A3" s="247"/>
      <c r="B3" s="243"/>
      <c r="C3" s="249"/>
      <c r="D3" s="92" t="s">
        <v>64</v>
      </c>
      <c r="E3" s="93" t="s">
        <v>65</v>
      </c>
      <c r="F3" s="94" t="s">
        <v>66</v>
      </c>
      <c r="H3" s="178"/>
      <c r="I3" s="178"/>
      <c r="J3" s="178"/>
    </row>
    <row r="4" spans="1:10" ht="12.75">
      <c r="A4" s="99" t="s">
        <v>213</v>
      </c>
      <c r="B4" s="100">
        <v>40</v>
      </c>
      <c r="C4" s="101">
        <v>80</v>
      </c>
      <c r="D4" s="102">
        <v>1.7</v>
      </c>
      <c r="E4" s="103">
        <v>2.1</v>
      </c>
      <c r="F4" s="104">
        <v>2.3</v>
      </c>
      <c r="H4" s="79"/>
      <c r="I4" s="79"/>
      <c r="J4" s="79"/>
    </row>
    <row r="5" spans="1:10" ht="12.75" customHeight="1">
      <c r="A5" s="84" t="s">
        <v>214</v>
      </c>
      <c r="B5" s="82">
        <v>40</v>
      </c>
      <c r="C5" s="80">
        <v>80</v>
      </c>
      <c r="D5" s="86">
        <v>2</v>
      </c>
      <c r="E5" s="87">
        <v>2.4</v>
      </c>
      <c r="F5" s="88">
        <v>2.5</v>
      </c>
      <c r="H5" s="79"/>
      <c r="I5" s="79"/>
      <c r="J5" s="79"/>
    </row>
    <row r="6" spans="1:10" ht="12.75" customHeight="1">
      <c r="A6" s="105" t="s">
        <v>214</v>
      </c>
      <c r="B6" s="106">
        <v>48</v>
      </c>
      <c r="C6" s="107">
        <v>80</v>
      </c>
      <c r="D6" s="108">
        <v>2.3</v>
      </c>
      <c r="E6" s="109">
        <v>2.8</v>
      </c>
      <c r="F6" s="110">
        <v>2.9</v>
      </c>
      <c r="H6" s="79"/>
      <c r="I6" s="79"/>
      <c r="J6" s="79"/>
    </row>
    <row r="7" spans="1:10" ht="12.75" customHeight="1">
      <c r="A7" s="84" t="s">
        <v>214</v>
      </c>
      <c r="B7" s="82">
        <v>64</v>
      </c>
      <c r="C7" s="80">
        <v>80</v>
      </c>
      <c r="D7" s="86">
        <v>2.6</v>
      </c>
      <c r="E7" s="87">
        <v>3.3</v>
      </c>
      <c r="F7" s="88">
        <v>3.5</v>
      </c>
      <c r="H7" s="79"/>
      <c r="I7" s="79"/>
      <c r="J7" s="79"/>
    </row>
    <row r="8" spans="1:10" ht="12.75">
      <c r="A8" s="111" t="s">
        <v>222</v>
      </c>
      <c r="B8" s="112">
        <v>40</v>
      </c>
      <c r="C8" s="113">
        <v>80</v>
      </c>
      <c r="D8" s="114">
        <v>2.6</v>
      </c>
      <c r="E8" s="115">
        <v>3.4</v>
      </c>
      <c r="F8" s="116">
        <v>3.9</v>
      </c>
      <c r="H8" s="79"/>
      <c r="I8" s="79"/>
      <c r="J8" s="79"/>
    </row>
    <row r="9" spans="1:10" ht="12.75" customHeight="1">
      <c r="A9" s="85" t="s">
        <v>215</v>
      </c>
      <c r="B9" s="83">
        <v>32</v>
      </c>
      <c r="C9" s="81">
        <v>52</v>
      </c>
      <c r="D9" s="89">
        <v>2.3</v>
      </c>
      <c r="E9" s="90">
        <v>2.9</v>
      </c>
      <c r="F9" s="91">
        <v>3.4</v>
      </c>
      <c r="H9" s="79"/>
      <c r="I9" s="79"/>
      <c r="J9" s="79"/>
    </row>
    <row r="10" spans="1:10" ht="12.75" customHeight="1">
      <c r="A10" s="105" t="s">
        <v>215</v>
      </c>
      <c r="B10" s="106">
        <v>40</v>
      </c>
      <c r="C10" s="107">
        <v>80</v>
      </c>
      <c r="D10" s="108">
        <v>2.9</v>
      </c>
      <c r="E10" s="109">
        <v>4.2</v>
      </c>
      <c r="F10" s="110">
        <v>4.7</v>
      </c>
      <c r="H10" s="79"/>
      <c r="I10" s="79"/>
      <c r="J10" s="79"/>
    </row>
    <row r="11" spans="1:10" ht="12.75" customHeight="1">
      <c r="A11" s="85" t="s">
        <v>215</v>
      </c>
      <c r="B11" s="83">
        <v>40</v>
      </c>
      <c r="C11" s="81">
        <v>80</v>
      </c>
      <c r="D11" s="89">
        <v>3.2</v>
      </c>
      <c r="E11" s="90">
        <v>4.9</v>
      </c>
      <c r="F11" s="91">
        <v>6.4</v>
      </c>
      <c r="H11" s="79"/>
      <c r="I11" s="79"/>
      <c r="J11" s="79"/>
    </row>
    <row r="12" spans="1:10" ht="12.75" customHeight="1">
      <c r="A12" s="105" t="s">
        <v>216</v>
      </c>
      <c r="B12" s="106">
        <v>32</v>
      </c>
      <c r="C12" s="107">
        <v>80</v>
      </c>
      <c r="D12" s="108">
        <v>3.4</v>
      </c>
      <c r="E12" s="109">
        <v>5.3</v>
      </c>
      <c r="F12" s="110">
        <v>6.9</v>
      </c>
      <c r="H12" s="79"/>
      <c r="I12" s="79"/>
      <c r="J12" s="79"/>
    </row>
    <row r="13" spans="1:10" ht="12.75" customHeight="1">
      <c r="A13" s="85" t="s">
        <v>216</v>
      </c>
      <c r="B13" s="83">
        <v>40</v>
      </c>
      <c r="C13" s="81">
        <v>80</v>
      </c>
      <c r="D13" s="89">
        <v>4.4</v>
      </c>
      <c r="E13" s="90">
        <v>8.4</v>
      </c>
      <c r="F13" s="91">
        <v>13.2</v>
      </c>
      <c r="H13" s="79"/>
      <c r="I13" s="79"/>
      <c r="J13" s="79"/>
    </row>
    <row r="14" spans="1:10" ht="12.75" customHeight="1">
      <c r="A14" s="105" t="s">
        <v>216</v>
      </c>
      <c r="B14" s="106">
        <v>40</v>
      </c>
      <c r="C14" s="107">
        <v>80</v>
      </c>
      <c r="D14" s="108">
        <v>4.5</v>
      </c>
      <c r="E14" s="109">
        <v>8.6</v>
      </c>
      <c r="F14" s="110">
        <v>13.8</v>
      </c>
      <c r="H14" s="79"/>
      <c r="I14" s="79"/>
      <c r="J14" s="79"/>
    </row>
    <row r="15" spans="1:10" ht="12.75" customHeight="1">
      <c r="A15" s="85" t="s">
        <v>217</v>
      </c>
      <c r="B15" s="83">
        <v>32</v>
      </c>
      <c r="C15" s="81">
        <v>40</v>
      </c>
      <c r="D15" s="89">
        <v>1.9</v>
      </c>
      <c r="E15" s="90">
        <v>2.2</v>
      </c>
      <c r="F15" s="91">
        <v>2.4</v>
      </c>
      <c r="H15" s="79"/>
      <c r="I15" s="79"/>
      <c r="J15" s="79"/>
    </row>
    <row r="16" spans="1:10" ht="12.75" customHeight="1">
      <c r="A16" s="105" t="s">
        <v>217</v>
      </c>
      <c r="B16" s="106">
        <v>25</v>
      </c>
      <c r="C16" s="107">
        <v>42</v>
      </c>
      <c r="D16" s="108">
        <v>1.7</v>
      </c>
      <c r="E16" s="109">
        <v>1.9</v>
      </c>
      <c r="F16" s="110">
        <v>2.1</v>
      </c>
      <c r="H16" s="79"/>
      <c r="I16" s="79"/>
      <c r="J16" s="79"/>
    </row>
    <row r="17" spans="1:10" ht="12.75" customHeight="1">
      <c r="A17" s="84" t="s">
        <v>218</v>
      </c>
      <c r="B17" s="82">
        <v>64</v>
      </c>
      <c r="C17" s="80">
        <v>80</v>
      </c>
      <c r="D17" s="86">
        <v>2.9</v>
      </c>
      <c r="E17" s="87">
        <v>3.8</v>
      </c>
      <c r="F17" s="88">
        <v>4.6</v>
      </c>
      <c r="H17" s="79"/>
      <c r="I17" s="79"/>
      <c r="J17" s="79"/>
    </row>
    <row r="18" spans="1:10" ht="12.75" customHeight="1" thickBot="1">
      <c r="A18" s="117" t="s">
        <v>218</v>
      </c>
      <c r="B18" s="118">
        <v>50</v>
      </c>
      <c r="C18" s="119">
        <v>84</v>
      </c>
      <c r="D18" s="120">
        <v>2.4</v>
      </c>
      <c r="E18" s="121">
        <v>3.1</v>
      </c>
      <c r="F18" s="122">
        <v>3.6</v>
      </c>
      <c r="H18" s="79"/>
      <c r="I18" s="79"/>
      <c r="J18" s="79"/>
    </row>
    <row r="19" spans="9:10" ht="13.5" thickTop="1">
      <c r="I19" s="79"/>
      <c r="J19" s="79"/>
    </row>
  </sheetData>
  <sheetProtection password="DC79" sheet="1" objects="1" scenarios="1"/>
  <mergeCells count="5">
    <mergeCell ref="A1:F1"/>
    <mergeCell ref="B2:B3"/>
    <mergeCell ref="D2:F2"/>
    <mergeCell ref="A2:A3"/>
    <mergeCell ref="C2:C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workbookViewId="0" topLeftCell="A1">
      <selection activeCell="A1" sqref="A1:D1"/>
    </sheetView>
  </sheetViews>
  <sheetFormatPr defaultColWidth="9.140625" defaultRowHeight="12.75" outlineLevelRow="1"/>
  <cols>
    <col min="1" max="1" width="5.8515625" style="0" customWidth="1"/>
    <col min="2" max="2" width="31.421875" style="0" customWidth="1"/>
    <col min="3" max="3" width="8.140625" style="0" customWidth="1"/>
    <col min="4" max="4" width="10.421875" style="0" customWidth="1"/>
    <col min="5" max="12" width="0" style="0" hidden="1" customWidth="1"/>
    <col min="13" max="13" width="2.8515625" style="0" customWidth="1"/>
  </cols>
  <sheetData>
    <row r="1" spans="1:4" ht="15.75">
      <c r="A1" s="233" t="s">
        <v>126</v>
      </c>
      <c r="B1" s="234"/>
      <c r="C1" s="234"/>
      <c r="D1" s="234"/>
    </row>
    <row r="2" spans="1:4" ht="6.75" customHeight="1">
      <c r="A2" s="169"/>
      <c r="B2" s="51"/>
      <c r="C2" s="51"/>
      <c r="D2" s="51"/>
    </row>
    <row r="3" spans="1:14" ht="12.75">
      <c r="A3" s="78" t="s">
        <v>265</v>
      </c>
      <c r="B3" s="66"/>
      <c r="C3" s="66"/>
      <c r="D3" s="12"/>
      <c r="N3" s="35" t="s">
        <v>148</v>
      </c>
    </row>
    <row r="4" spans="2:14" ht="12.75">
      <c r="B4" s="1" t="s">
        <v>113</v>
      </c>
      <c r="C4" s="52">
        <v>4</v>
      </c>
      <c r="E4">
        <v>1</v>
      </c>
      <c r="F4">
        <v>2</v>
      </c>
      <c r="G4">
        <v>3</v>
      </c>
      <c r="H4">
        <v>4</v>
      </c>
      <c r="I4">
        <v>5</v>
      </c>
      <c r="J4">
        <v>6</v>
      </c>
      <c r="K4">
        <v>7</v>
      </c>
      <c r="L4">
        <v>8</v>
      </c>
      <c r="N4" t="s">
        <v>143</v>
      </c>
    </row>
    <row r="5" spans="2:14" ht="12.75">
      <c r="B5" s="1" t="s">
        <v>150</v>
      </c>
      <c r="C5" s="52" t="s">
        <v>64</v>
      </c>
      <c r="E5" s="1" t="s">
        <v>64</v>
      </c>
      <c r="F5" s="1" t="s">
        <v>65</v>
      </c>
      <c r="G5" s="1" t="s">
        <v>66</v>
      </c>
      <c r="N5" t="s">
        <v>144</v>
      </c>
    </row>
    <row r="6" spans="3:7" ht="6.75" customHeight="1">
      <c r="C6" s="50"/>
      <c r="E6" s="1"/>
      <c r="F6" s="1"/>
      <c r="G6" s="1"/>
    </row>
    <row r="7" spans="1:4" ht="12.75">
      <c r="A7" s="171" t="s">
        <v>245</v>
      </c>
      <c r="B7" s="4"/>
      <c r="C7" s="4"/>
      <c r="D7" s="12"/>
    </row>
    <row r="8" spans="2:14" ht="12.75">
      <c r="B8" s="1" t="s">
        <v>128</v>
      </c>
      <c r="C8" s="208">
        <f>Calculator!C23</f>
        <v>262.0298203508157</v>
      </c>
      <c r="D8" s="35" t="str">
        <f>Calculator!D23</f>
        <v>$/year</v>
      </c>
      <c r="N8" t="s">
        <v>151</v>
      </c>
    </row>
    <row r="9" spans="2:14" ht="12.75">
      <c r="B9" s="1" t="s">
        <v>129</v>
      </c>
      <c r="C9" s="209">
        <f>Calculator!C22</f>
        <v>2322.959400273189</v>
      </c>
      <c r="D9" s="35" t="str">
        <f>Calculator!D22</f>
        <v>kWh/year</v>
      </c>
      <c r="N9" t="s">
        <v>152</v>
      </c>
    </row>
    <row r="10" spans="2:14" ht="12.75">
      <c r="B10" s="1" t="s">
        <v>130</v>
      </c>
      <c r="C10" s="209">
        <f>Calculator!C39</f>
        <v>3214.975809978094</v>
      </c>
      <c r="D10" s="35" t="str">
        <f>Calculator!D39</f>
        <v>lb/year</v>
      </c>
      <c r="N10" t="s">
        <v>138</v>
      </c>
    </row>
    <row r="11" spans="2:14" ht="12.75">
      <c r="B11" s="1" t="s">
        <v>321</v>
      </c>
      <c r="C11" s="210">
        <f>Calculator!C24</f>
        <v>0.7508127588859268</v>
      </c>
      <c r="D11" s="35" t="s">
        <v>320</v>
      </c>
      <c r="N11" t="s">
        <v>322</v>
      </c>
    </row>
    <row r="12" spans="2:4" ht="6.75" customHeight="1">
      <c r="B12" s="1"/>
      <c r="C12" s="170"/>
      <c r="D12" s="35"/>
    </row>
    <row r="13" spans="1:4" ht="12.75">
      <c r="A13" s="172" t="s">
        <v>247</v>
      </c>
      <c r="B13" s="173"/>
      <c r="C13" s="182"/>
      <c r="D13" s="46"/>
    </row>
    <row r="14" spans="2:14" ht="12.75">
      <c r="B14" s="1" t="s">
        <v>131</v>
      </c>
      <c r="C14" s="212">
        <f>Calculator!C27</f>
        <v>8.892117686759871</v>
      </c>
      <c r="D14" s="35" t="str">
        <f>Calculator!D27</f>
        <v>years</v>
      </c>
      <c r="N14" t="s">
        <v>137</v>
      </c>
    </row>
    <row r="15" spans="2:14" ht="12.75">
      <c r="B15" s="1" t="s">
        <v>323</v>
      </c>
      <c r="C15" s="213">
        <f>Calculator!C30</f>
        <v>6.157761300528968</v>
      </c>
      <c r="D15" s="35" t="str">
        <f>Calculator!D30</f>
        <v>¢ / kWh</v>
      </c>
      <c r="N15" t="str">
        <f>IF(Calculator!C10=Calculator!I10,"[ As compared with 11.3¢ per kWh Florida September 2007 average retail price ]","[As compared with $2.15 per therm Florida 2006 average retail price ]")</f>
        <v>[ As compared with 11.3¢ per kWh Florida September 2007 average retail price ]</v>
      </c>
    </row>
    <row r="16" spans="2:14" ht="12.75">
      <c r="B16" s="1" t="s">
        <v>153</v>
      </c>
      <c r="C16" s="211">
        <f>Calculator!C28</f>
        <v>0.1325882494449616</v>
      </c>
      <c r="D16" s="35" t="s">
        <v>127</v>
      </c>
      <c r="N16" s="55" t="s">
        <v>139</v>
      </c>
    </row>
    <row r="17" spans="2:14" ht="12.75">
      <c r="B17" s="1" t="s">
        <v>133</v>
      </c>
      <c r="C17" s="214">
        <f>Calculator!C29</f>
        <v>3532.1999151643704</v>
      </c>
      <c r="D17" s="35" t="s">
        <v>132</v>
      </c>
      <c r="N17" t="s">
        <v>134</v>
      </c>
    </row>
    <row r="18" ht="6.75" customHeight="1"/>
    <row r="19" spans="1:4" ht="12.75" customHeight="1" hidden="1" outlineLevel="1">
      <c r="A19" s="183" t="s">
        <v>264</v>
      </c>
      <c r="B19" s="183"/>
      <c r="C19" s="183"/>
      <c r="D19" s="184"/>
    </row>
    <row r="20" spans="2:14" ht="12.75" hidden="1" outlineLevel="1">
      <c r="B20" s="1" t="s">
        <v>121</v>
      </c>
      <c r="C20" s="204">
        <f>Calculator!C5</f>
        <v>4</v>
      </c>
      <c r="N20" t="s">
        <v>145</v>
      </c>
    </row>
    <row r="21" spans="2:14" ht="12.75" hidden="1" outlineLevel="1">
      <c r="B21" s="1" t="s">
        <v>330</v>
      </c>
      <c r="C21" s="204" t="s">
        <v>325</v>
      </c>
      <c r="N21" t="s">
        <v>332</v>
      </c>
    </row>
    <row r="22" spans="2:14" ht="12.75" hidden="1" outlineLevel="1">
      <c r="B22" s="1" t="s">
        <v>120</v>
      </c>
      <c r="C22" s="205">
        <f>Calculator!C6</f>
        <v>4400</v>
      </c>
      <c r="N22" t="s">
        <v>271</v>
      </c>
    </row>
    <row r="23" spans="2:14" ht="12.75" hidden="1" outlineLevel="1">
      <c r="B23" s="1" t="s">
        <v>122</v>
      </c>
      <c r="C23" s="205">
        <f>Calculator!D7</f>
        <v>1320</v>
      </c>
      <c r="N23" t="s">
        <v>149</v>
      </c>
    </row>
    <row r="24" spans="2:14" ht="12.75" hidden="1" outlineLevel="1">
      <c r="B24" s="1" t="s">
        <v>123</v>
      </c>
      <c r="C24" s="205">
        <f>Calculator!D8</f>
        <v>500</v>
      </c>
      <c r="N24" t="s">
        <v>146</v>
      </c>
    </row>
    <row r="25" spans="2:14" ht="12.75" hidden="1" outlineLevel="1">
      <c r="B25" s="1" t="s">
        <v>124</v>
      </c>
      <c r="C25" s="205">
        <f>Calculator!D9</f>
        <v>0</v>
      </c>
      <c r="N25" t="s">
        <v>147</v>
      </c>
    </row>
    <row r="26" spans="2:14" ht="12.75" hidden="1" outlineLevel="1">
      <c r="B26" s="1" t="s">
        <v>135</v>
      </c>
      <c r="C26" s="199" t="str">
        <f>Calculator!C10</f>
        <v>Electric</v>
      </c>
      <c r="N26" t="s">
        <v>136</v>
      </c>
    </row>
    <row r="27" spans="2:14" ht="12.75" hidden="1" outlineLevel="1">
      <c r="B27" s="1" t="s">
        <v>141</v>
      </c>
      <c r="C27" s="206">
        <f>discount_rate</f>
        <v>0.045</v>
      </c>
      <c r="D27" t="s">
        <v>127</v>
      </c>
      <c r="N27" t="s">
        <v>272</v>
      </c>
    </row>
    <row r="28" spans="2:14" ht="12.75" hidden="1" outlineLevel="1">
      <c r="B28" s="1" t="s">
        <v>140</v>
      </c>
      <c r="C28" s="206">
        <f>Econ!D3</f>
        <v>0.03</v>
      </c>
      <c r="D28" t="s">
        <v>127</v>
      </c>
      <c r="N28" t="s">
        <v>142</v>
      </c>
    </row>
    <row r="29" spans="2:14" ht="12.75" hidden="1" outlineLevel="1">
      <c r="B29" s="1" t="s">
        <v>162</v>
      </c>
      <c r="C29" s="207">
        <f>Calculator!N17</f>
        <v>0.1128</v>
      </c>
      <c r="D29" t="s">
        <v>13</v>
      </c>
      <c r="N29" t="s">
        <v>273</v>
      </c>
    </row>
    <row r="30" spans="2:14" ht="12.75" hidden="1" outlineLevel="1">
      <c r="B30" s="1" t="s">
        <v>163</v>
      </c>
      <c r="C30" s="207">
        <f>Calculator!N18</f>
        <v>2.154</v>
      </c>
      <c r="D30" t="s">
        <v>83</v>
      </c>
      <c r="N30" t="s">
        <v>274</v>
      </c>
    </row>
    <row r="31" spans="2:14" ht="12.75" hidden="1" outlineLevel="1">
      <c r="B31" s="1" t="s">
        <v>308</v>
      </c>
      <c r="C31" s="206">
        <f>Econ!D4</f>
        <v>0</v>
      </c>
      <c r="D31" t="s">
        <v>127</v>
      </c>
      <c r="N31" t="s">
        <v>309</v>
      </c>
    </row>
    <row r="32" spans="1:14" ht="12.75" hidden="1" outlineLevel="1">
      <c r="A32" s="203" t="s">
        <v>329</v>
      </c>
      <c r="B32" s="198"/>
      <c r="C32" s="198"/>
      <c r="D32" s="12"/>
      <c r="E32" s="12"/>
      <c r="F32" s="12"/>
      <c r="G32" s="12"/>
      <c r="H32" s="12"/>
      <c r="I32" s="12"/>
      <c r="J32" s="12"/>
      <c r="K32" s="12"/>
      <c r="L32" s="12"/>
      <c r="M32" s="12"/>
      <c r="N32" s="12"/>
    </row>
    <row r="33" spans="1:14" ht="12.75" hidden="1" outlineLevel="1">
      <c r="A33" s="46"/>
      <c r="B33" s="12"/>
      <c r="C33" s="12"/>
      <c r="D33" s="12"/>
      <c r="E33" s="12"/>
      <c r="F33" s="12"/>
      <c r="G33" s="12"/>
      <c r="H33" s="12"/>
      <c r="I33" s="12"/>
      <c r="J33" s="12"/>
      <c r="K33" s="12"/>
      <c r="L33" s="12"/>
      <c r="M33" s="12"/>
      <c r="N33" s="12"/>
    </row>
    <row r="34" spans="1:16" ht="12.75" customHeight="1" collapsed="1">
      <c r="A34" s="202" t="s">
        <v>331</v>
      </c>
      <c r="B34" s="201"/>
      <c r="C34" s="201"/>
      <c r="D34" s="201"/>
      <c r="E34" s="201"/>
      <c r="F34" s="201"/>
      <c r="G34" s="201"/>
      <c r="H34" s="201"/>
      <c r="I34" s="201"/>
      <c r="J34" s="201"/>
      <c r="K34" s="201"/>
      <c r="L34" s="201"/>
      <c r="M34" s="201"/>
      <c r="N34" s="201"/>
      <c r="O34" s="201"/>
      <c r="P34" s="201"/>
    </row>
    <row r="35" ht="7.5" customHeight="1"/>
    <row r="36" spans="1:19" ht="39" customHeight="1">
      <c r="A36" s="235" t="s">
        <v>333</v>
      </c>
      <c r="B36" s="236"/>
      <c r="C36" s="236"/>
      <c r="D36" s="236"/>
      <c r="E36" s="237"/>
      <c r="F36" s="237"/>
      <c r="G36" s="237"/>
      <c r="H36" s="237"/>
      <c r="I36" s="237"/>
      <c r="J36" s="237"/>
      <c r="K36" s="237"/>
      <c r="L36" s="237"/>
      <c r="M36" s="237"/>
      <c r="N36" s="237"/>
      <c r="O36" s="237"/>
      <c r="P36" s="237"/>
      <c r="Q36" s="237"/>
      <c r="R36" s="237"/>
      <c r="S36" s="238"/>
    </row>
  </sheetData>
  <sheetProtection/>
  <mergeCells count="2">
    <mergeCell ref="A1:D1"/>
    <mergeCell ref="A36:S36"/>
  </mergeCells>
  <dataValidations count="2">
    <dataValidation type="list" allowBlank="1" showInputMessage="1" showErrorMessage="1" sqref="C5">
      <formula1>$E$5:$G$5</formula1>
    </dataValidation>
    <dataValidation type="list" allowBlank="1" showInputMessage="1" showErrorMessage="1" sqref="C4">
      <formula1>$E$4:$L$4</formula1>
    </dataValidation>
  </dataValidations>
  <printOptions/>
  <pageMargins left="0.75" right="0.75" top="1" bottom="1" header="0.5" footer="0.5"/>
  <pageSetup fitToHeight="1" fitToWidth="1"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dimension ref="A1:AB32"/>
  <sheetViews>
    <sheetView workbookViewId="0" topLeftCell="A1">
      <selection activeCell="A1" sqref="A1:D1"/>
    </sheetView>
  </sheetViews>
  <sheetFormatPr defaultColWidth="9.140625" defaultRowHeight="12.75"/>
  <cols>
    <col min="1" max="1" width="5.421875" style="0" customWidth="1"/>
    <col min="2" max="2" width="31.28125" style="0" customWidth="1"/>
    <col min="3" max="3" width="9.421875" style="0" customWidth="1"/>
    <col min="4" max="4" width="10.28125" style="0" customWidth="1"/>
    <col min="5" max="5" width="3.421875" style="0" customWidth="1"/>
    <col min="10" max="12" width="9.140625" style="0" hidden="1" customWidth="1"/>
  </cols>
  <sheetData>
    <row r="1" spans="1:4" ht="15.75">
      <c r="A1" s="233" t="s">
        <v>154</v>
      </c>
      <c r="B1" s="234"/>
      <c r="C1" s="234"/>
      <c r="D1" s="234"/>
    </row>
    <row r="2" spans="1:4" ht="6.75" customHeight="1">
      <c r="A2" s="53"/>
      <c r="B2" s="54"/>
      <c r="C2" s="54"/>
      <c r="D2" s="54"/>
    </row>
    <row r="3" spans="1:13" ht="12.75">
      <c r="A3" s="78" t="s">
        <v>266</v>
      </c>
      <c r="B3" s="66"/>
      <c r="C3" s="66"/>
      <c r="F3" s="195"/>
      <c r="G3" s="196"/>
      <c r="H3" s="19"/>
      <c r="I3" s="19"/>
      <c r="J3" s="35"/>
      <c r="K3" s="35"/>
      <c r="L3" s="35"/>
      <c r="M3" s="197"/>
    </row>
    <row r="4" spans="2:14" ht="12.75">
      <c r="B4" s="1" t="s">
        <v>155</v>
      </c>
      <c r="C4" s="219">
        <f>'Page 1'!C20</f>
        <v>4</v>
      </c>
      <c r="F4" t="s">
        <v>334</v>
      </c>
      <c r="N4" s="215" t="s">
        <v>336</v>
      </c>
    </row>
    <row r="5" spans="2:28" ht="12.75">
      <c r="B5" s="1" t="s">
        <v>327</v>
      </c>
      <c r="C5" s="52" t="s">
        <v>325</v>
      </c>
      <c r="F5" t="s">
        <v>328</v>
      </c>
      <c r="Z5" t="s">
        <v>324</v>
      </c>
      <c r="AA5" t="s">
        <v>325</v>
      </c>
      <c r="AB5" t="s">
        <v>326</v>
      </c>
    </row>
    <row r="6" spans="2:18" ht="12.75">
      <c r="B6" s="1" t="s">
        <v>156</v>
      </c>
      <c r="C6" s="59">
        <f>'Page 1'!C22</f>
        <v>4400</v>
      </c>
      <c r="F6" t="s">
        <v>337</v>
      </c>
      <c r="P6" s="215" t="s">
        <v>335</v>
      </c>
      <c r="R6" s="216"/>
    </row>
    <row r="7" spans="2:12" ht="12.75">
      <c r="B7" s="1" t="s">
        <v>157</v>
      </c>
      <c r="C7" s="59" t="s">
        <v>44</v>
      </c>
      <c r="D7" s="220">
        <f>IF(C7="Yes",-30%*C6,0)</f>
        <v>-1320</v>
      </c>
      <c r="F7" t="s">
        <v>268</v>
      </c>
      <c r="L7" s="7">
        <f>30%*C6</f>
        <v>1320</v>
      </c>
    </row>
    <row r="8" spans="2:13" ht="12.75">
      <c r="B8" s="1" t="s">
        <v>203</v>
      </c>
      <c r="C8" s="59" t="s">
        <v>44</v>
      </c>
      <c r="D8" s="220">
        <f>IF(C8="Yes",-500,0)</f>
        <v>-500</v>
      </c>
      <c r="F8" t="s">
        <v>338</v>
      </c>
      <c r="J8" t="s">
        <v>44</v>
      </c>
      <c r="K8" t="s">
        <v>45</v>
      </c>
      <c r="L8">
        <v>500</v>
      </c>
      <c r="M8" s="215" t="s">
        <v>339</v>
      </c>
    </row>
    <row r="9" spans="2:6" ht="12.75">
      <c r="B9" s="1" t="s">
        <v>158</v>
      </c>
      <c r="C9" s="59">
        <v>0</v>
      </c>
      <c r="F9" t="s">
        <v>164</v>
      </c>
    </row>
    <row r="10" spans="2:11" ht="12.75">
      <c r="B10" s="1" t="s">
        <v>159</v>
      </c>
      <c r="C10" s="52" t="s">
        <v>78</v>
      </c>
      <c r="F10" t="s">
        <v>267</v>
      </c>
      <c r="J10" t="str">
        <f>Calculator!I10</f>
        <v>Electric</v>
      </c>
      <c r="K10" t="str">
        <f>Calculator!J10</f>
        <v>Gas</v>
      </c>
    </row>
    <row r="11" spans="2:6" ht="12.75">
      <c r="B11" s="1" t="s">
        <v>160</v>
      </c>
      <c r="C11" s="60">
        <f>'Page 1'!C27</f>
        <v>0.045</v>
      </c>
      <c r="D11" t="s">
        <v>127</v>
      </c>
      <c r="F11" t="s">
        <v>314</v>
      </c>
    </row>
    <row r="12" spans="2:6" ht="12.75">
      <c r="B12" s="1" t="s">
        <v>161</v>
      </c>
      <c r="C12" s="60">
        <f>'Page 1'!C28</f>
        <v>0.03</v>
      </c>
      <c r="D12" t="s">
        <v>127</v>
      </c>
      <c r="F12" t="s">
        <v>315</v>
      </c>
    </row>
    <row r="13" spans="2:6" ht="12.75">
      <c r="B13" s="1" t="s">
        <v>317</v>
      </c>
      <c r="C13" s="61">
        <f>'Page 1'!C29</f>
        <v>0.1128</v>
      </c>
      <c r="D13" t="s">
        <v>104</v>
      </c>
      <c r="F13" t="s">
        <v>269</v>
      </c>
    </row>
    <row r="14" spans="2:6" ht="12.75">
      <c r="B14" s="1" t="s">
        <v>316</v>
      </c>
      <c r="C14" s="61">
        <f>'Page 1'!C30</f>
        <v>2.154</v>
      </c>
      <c r="D14" t="s">
        <v>107</v>
      </c>
      <c r="F14" t="s">
        <v>270</v>
      </c>
    </row>
    <row r="15" spans="2:6" ht="12.75">
      <c r="B15" s="1" t="s">
        <v>308</v>
      </c>
      <c r="C15" s="60">
        <f>'Page 1'!C31</f>
        <v>0</v>
      </c>
      <c r="D15" t="s">
        <v>127</v>
      </c>
      <c r="F15" t="s">
        <v>313</v>
      </c>
    </row>
    <row r="16" ht="6.75" customHeight="1"/>
    <row r="17" spans="1:3" ht="12.75">
      <c r="A17" s="171" t="s">
        <v>246</v>
      </c>
      <c r="B17" s="4"/>
      <c r="C17" s="4"/>
    </row>
    <row r="18" spans="2:6" ht="12.75">
      <c r="B18" s="1" t="s">
        <v>128</v>
      </c>
      <c r="C18" s="57">
        <f>'Calculator (2)'!C23</f>
        <v>262.0298203508157</v>
      </c>
      <c r="D18" s="35" t="str">
        <f>'Calculator (2)'!D23</f>
        <v>$/year</v>
      </c>
      <c r="F18" t="s">
        <v>151</v>
      </c>
    </row>
    <row r="19" spans="2:6" ht="12.75">
      <c r="B19" s="1" t="s">
        <v>129</v>
      </c>
      <c r="C19" s="58">
        <f>'Calculator (2)'!C22</f>
        <v>2322.959400273189</v>
      </c>
      <c r="D19" s="35" t="str">
        <f>'Calculator (2)'!D22</f>
        <v>kWh/year</v>
      </c>
      <c r="F19" t="s">
        <v>152</v>
      </c>
    </row>
    <row r="20" spans="2:6" ht="12.75">
      <c r="B20" s="1" t="s">
        <v>130</v>
      </c>
      <c r="C20" s="58">
        <f>'Calculator (2)'!C39</f>
        <v>3214.975809978094</v>
      </c>
      <c r="D20" s="35" t="str">
        <f>'Calculator (2)'!D39</f>
        <v>lb/year</v>
      </c>
      <c r="F20" t="s">
        <v>138</v>
      </c>
    </row>
    <row r="21" spans="2:6" ht="12.75">
      <c r="B21" s="1" t="s">
        <v>321</v>
      </c>
      <c r="C21" s="200">
        <f>'Calculator (2)'!C24</f>
        <v>0.7508127588859268</v>
      </c>
      <c r="D21" s="35" t="s">
        <v>320</v>
      </c>
      <c r="F21" t="s">
        <v>322</v>
      </c>
    </row>
    <row r="22" spans="2:4" ht="6.75" customHeight="1">
      <c r="B22" s="1"/>
      <c r="C22" s="170"/>
      <c r="D22" s="35"/>
    </row>
    <row r="23" spans="1:4" ht="12.75">
      <c r="A23" s="172" t="s">
        <v>248</v>
      </c>
      <c r="B23" s="173"/>
      <c r="C23" s="182"/>
      <c r="D23" s="35"/>
    </row>
    <row r="24" spans="2:6" ht="12.75">
      <c r="B24" s="1" t="s">
        <v>131</v>
      </c>
      <c r="C24" s="177">
        <f>'Calculator (2)'!C27</f>
        <v>8.892117686759871</v>
      </c>
      <c r="D24" s="35" t="str">
        <f>'Calculator (2)'!D27</f>
        <v>years</v>
      </c>
      <c r="F24" t="s">
        <v>137</v>
      </c>
    </row>
    <row r="25" spans="2:6" ht="12.75">
      <c r="B25" s="1" t="s">
        <v>323</v>
      </c>
      <c r="C25" s="174">
        <f>'Calculator (2)'!C30</f>
        <v>6.157761300528968</v>
      </c>
      <c r="D25" s="35" t="str">
        <f>'Calculator (2)'!D30</f>
        <v>¢ / kWh</v>
      </c>
      <c r="F25" t="str">
        <f>IF(C10=J10,"[ As compared with 11.3¢ per kWh Florida September 2007 average retail price ]","[As compared with $2.15 per therm Florida 2006 average retail price ]")</f>
        <v>[ As compared with 11.3¢ per kWh Florida September 2007 average retail price ]</v>
      </c>
    </row>
    <row r="26" spans="2:6" ht="12.75">
      <c r="B26" s="1" t="s">
        <v>153</v>
      </c>
      <c r="C26" s="175">
        <f>'Econ (2)'!Q7</f>
        <v>0.1325882494449616</v>
      </c>
      <c r="D26" s="35" t="s">
        <v>127</v>
      </c>
      <c r="F26" s="55" t="s">
        <v>139</v>
      </c>
    </row>
    <row r="27" spans="2:6" ht="12.75">
      <c r="B27" s="1" t="s">
        <v>133</v>
      </c>
      <c r="C27" s="176">
        <f>'Econ (2)'!Q8</f>
        <v>3532.1999151643704</v>
      </c>
      <c r="D27" s="35" t="s">
        <v>132</v>
      </c>
      <c r="F27" t="s">
        <v>134</v>
      </c>
    </row>
    <row r="29" spans="1:3" ht="12.75">
      <c r="A29" s="183" t="s">
        <v>264</v>
      </c>
      <c r="B29" s="198"/>
      <c r="C29" s="198"/>
    </row>
    <row r="30" spans="2:6" ht="12.75">
      <c r="B30" s="1" t="s">
        <v>304</v>
      </c>
      <c r="C30" s="199">
        <f>'Page 1'!C4</f>
        <v>4</v>
      </c>
      <c r="F30" t="s">
        <v>312</v>
      </c>
    </row>
    <row r="31" spans="2:6" ht="12.75">
      <c r="B31" s="1" t="s">
        <v>303</v>
      </c>
      <c r="C31" s="199" t="str">
        <f>'Page 1'!C5</f>
        <v>North</v>
      </c>
      <c r="F31" t="s">
        <v>312</v>
      </c>
    </row>
    <row r="32" ht="12.75">
      <c r="B32" s="1"/>
    </row>
  </sheetData>
  <sheetProtection password="DC79" sheet="1" objects="1" scenarios="1"/>
  <mergeCells count="1">
    <mergeCell ref="A1:D1"/>
  </mergeCells>
  <dataValidations count="8">
    <dataValidation type="list" allowBlank="1" showInputMessage="1" showErrorMessage="1" sqref="C10">
      <formula1>$J$10:$K$10</formula1>
    </dataValidation>
    <dataValidation type="list" allowBlank="1" showInputMessage="1" showErrorMessage="1" sqref="C7:C8">
      <formula1>$J$8:$K$8</formula1>
    </dataValidation>
    <dataValidation type="whole" allowBlank="1" showInputMessage="1" showErrorMessage="1" sqref="C9">
      <formula1>0</formula1>
      <formula2>2000</formula2>
    </dataValidation>
    <dataValidation type="decimal" allowBlank="1" showInputMessage="1" showErrorMessage="1" sqref="C11:C12">
      <formula1>0</formula1>
      <formula2>0.25</formula2>
    </dataValidation>
    <dataValidation type="decimal" allowBlank="1" showInputMessage="1" showErrorMessage="1" sqref="C13">
      <formula1>0.05</formula1>
      <formula2>0.5</formula2>
    </dataValidation>
    <dataValidation type="decimal" allowBlank="1" showInputMessage="1" showErrorMessage="1" sqref="C14">
      <formula1>0.5</formula1>
      <formula2>5</formula2>
    </dataValidation>
    <dataValidation type="decimal" allowBlank="1" showInputMessage="1" showErrorMessage="1" sqref="C15">
      <formula1>0</formula1>
      <formula2>0.1</formula2>
    </dataValidation>
    <dataValidation type="list" allowBlank="1" showInputMessage="1" showErrorMessage="1" sqref="C5">
      <formula1>$Z$5:$AB$5</formula1>
    </dataValidation>
  </dataValidations>
  <hyperlinks>
    <hyperlink ref="N4" r:id="rId1" display="http://www.fsec.ucf.edu/en/industry/testing/STsystems/ratings/"/>
    <hyperlink ref="P6" r:id="rId2" display="http://www.flaseia.org/"/>
    <hyperlink ref="M8" r:id="rId3" display="http://www.dep.state.fl.us/energy/incentives.htm"/>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43"/>
  <sheetViews>
    <sheetView workbookViewId="0" topLeftCell="A1">
      <selection activeCell="A1" sqref="A1:I1"/>
    </sheetView>
  </sheetViews>
  <sheetFormatPr defaultColWidth="9.140625" defaultRowHeight="12.75"/>
  <cols>
    <col min="1" max="1" width="4.421875" style="0" customWidth="1"/>
    <col min="2" max="2" width="21.421875" style="0" customWidth="1"/>
    <col min="3" max="3" width="9.7109375" style="0" bestFit="1" customWidth="1"/>
    <col min="6" max="7" width="10.57421875" style="0" customWidth="1"/>
  </cols>
  <sheetData>
    <row r="1" spans="1:9" ht="15.75">
      <c r="A1" s="233" t="s">
        <v>77</v>
      </c>
      <c r="B1" s="239"/>
      <c r="C1" s="239"/>
      <c r="D1" s="239"/>
      <c r="E1" s="239"/>
      <c r="F1" s="239"/>
      <c r="G1" s="239"/>
      <c r="H1" s="239"/>
      <c r="I1" s="239"/>
    </row>
    <row r="2" spans="1:13" ht="12.75">
      <c r="A2" s="46" t="s">
        <v>114</v>
      </c>
      <c r="B2" s="12"/>
      <c r="M2" t="s">
        <v>283</v>
      </c>
    </row>
    <row r="3" spans="2:25" ht="12.75">
      <c r="B3" t="s">
        <v>62</v>
      </c>
      <c r="C3" s="44">
        <f>'Page 1'!C4</f>
        <v>4</v>
      </c>
      <c r="E3">
        <f>IF(C3&lt;2,N8,IF(C3&lt;3,O8,IF(C3&lt;4,P8,IF(C3&lt;5,Q8,IF(C3&lt;6,R8,IF(C3&lt;7,S8,IF(C3&lt;8,T8,U8)))))))</f>
        <v>4400</v>
      </c>
      <c r="I3" s="1" t="s">
        <v>64</v>
      </c>
      <c r="J3" s="1" t="s">
        <v>65</v>
      </c>
      <c r="K3" s="1" t="s">
        <v>66</v>
      </c>
      <c r="M3" s="1" t="s">
        <v>277</v>
      </c>
      <c r="N3">
        <v>1</v>
      </c>
      <c r="O3">
        <v>2</v>
      </c>
      <c r="P3">
        <v>3</v>
      </c>
      <c r="Q3">
        <v>4</v>
      </c>
      <c r="R3">
        <v>5</v>
      </c>
      <c r="S3">
        <v>6</v>
      </c>
      <c r="T3">
        <v>7</v>
      </c>
      <c r="U3">
        <v>8</v>
      </c>
      <c r="W3" s="1"/>
      <c r="X3" s="1"/>
      <c r="Y3" s="1"/>
    </row>
    <row r="4" spans="2:25" ht="12.75">
      <c r="B4" t="s">
        <v>63</v>
      </c>
      <c r="C4" s="45" t="str">
        <f>'Page 1'!C5</f>
        <v>North</v>
      </c>
      <c r="D4" s="3"/>
      <c r="H4" s="1" t="s">
        <v>300</v>
      </c>
      <c r="I4" s="79">
        <f>'T-mains'!N5</f>
        <v>74.15333333333334</v>
      </c>
      <c r="J4" s="79">
        <f>'T-mains'!N8</f>
        <v>77.42874999999998</v>
      </c>
      <c r="K4" s="79">
        <f>'T-mains'!N12</f>
        <v>81.77583333333332</v>
      </c>
      <c r="M4" s="1" t="s">
        <v>4</v>
      </c>
      <c r="N4">
        <f>30+10*N3</f>
        <v>40</v>
      </c>
      <c r="O4">
        <f aca="true" t="shared" si="0" ref="O4:U4">30+10*O3</f>
        <v>50</v>
      </c>
      <c r="P4">
        <f t="shared" si="0"/>
        <v>60</v>
      </c>
      <c r="Q4">
        <f t="shared" si="0"/>
        <v>70</v>
      </c>
      <c r="R4">
        <f t="shared" si="0"/>
        <v>80</v>
      </c>
      <c r="S4">
        <f t="shared" si="0"/>
        <v>90</v>
      </c>
      <c r="T4">
        <f t="shared" si="0"/>
        <v>100</v>
      </c>
      <c r="U4">
        <f t="shared" si="0"/>
        <v>110</v>
      </c>
      <c r="W4" s="123"/>
      <c r="X4" s="123"/>
      <c r="Y4" s="123"/>
    </row>
    <row r="5" spans="2:21" ht="12.75">
      <c r="B5" t="s">
        <v>61</v>
      </c>
      <c r="C5" s="79">
        <f>IF(C4=I3,E5,IF(C4=J3,E5*location!D4,IF(C4=K3,E5*location!D5,"error")))</f>
        <v>4</v>
      </c>
      <c r="E5" s="76">
        <f>IF(C3&lt;2,N7,IF(C3&lt;3,O7,IF(C3&lt;4,P7,IF(C3&lt;5,Q7,IF(C3&lt;6,R7,IF(C3&lt;7,S7,IF(C3&lt;8,T7,U7)))))))</f>
        <v>4</v>
      </c>
      <c r="F5" s="74" t="s">
        <v>252</v>
      </c>
      <c r="G5" s="181">
        <f>IF($C$4=$I$3,I5,IF(C4=$J$3,J5,K5))</f>
        <v>3.6959999999999997</v>
      </c>
      <c r="H5" s="1" t="s">
        <v>301</v>
      </c>
      <c r="I5" s="194">
        <f>$C$5*(1.76-0.277*$C$3+0.017*$C$3^2)</f>
        <v>3.6959999999999997</v>
      </c>
      <c r="J5" s="194">
        <f>$C$5*(1.96-0.35*$C$3+0.0211*$C$3^2)</f>
        <v>3.5904000000000003</v>
      </c>
      <c r="K5" s="194">
        <f>$C$5*(2.208-0.445*$C$3+0.0287*$C$3^2)</f>
        <v>3.548800000000001</v>
      </c>
      <c r="M5" s="1" t="s">
        <v>279</v>
      </c>
      <c r="N5" s="1" t="s">
        <v>284</v>
      </c>
      <c r="O5" s="1" t="s">
        <v>284</v>
      </c>
      <c r="P5" s="1" t="s">
        <v>286</v>
      </c>
      <c r="Q5" s="1" t="s">
        <v>285</v>
      </c>
      <c r="R5" s="1" t="s">
        <v>280</v>
      </c>
      <c r="S5" s="188" t="s">
        <v>281</v>
      </c>
      <c r="T5" s="188" t="s">
        <v>282</v>
      </c>
      <c r="U5" s="188" t="s">
        <v>282</v>
      </c>
    </row>
    <row r="6" spans="2:21" ht="12.75">
      <c r="B6" t="s">
        <v>67</v>
      </c>
      <c r="C6" s="38">
        <f>IF(C4=I3,E3,E3-400)</f>
        <v>4400</v>
      </c>
      <c r="D6" s="39" t="s">
        <v>112</v>
      </c>
      <c r="F6" s="75" t="s">
        <v>261</v>
      </c>
      <c r="G6" s="181">
        <f>IF($C$4=$I$3,I6,IF(C4=$J$3,J6,K6))</f>
        <v>0.9209960431576146</v>
      </c>
      <c r="H6" s="1" t="s">
        <v>302</v>
      </c>
      <c r="I6" s="194">
        <f>'egUSAruns (N)'!$N$7*(0.924+0.0274*Calculator!$C$3-0.00166*Calculator!$C$3^2)</f>
        <v>0.9209960431576146</v>
      </c>
      <c r="J6" s="194">
        <f>'egUSAruns (C)'!$N$7*(0.92+0.0286*Calculator!$C$3-0.00172*Calculator!$C$3^2)</f>
        <v>0.9269644890713675</v>
      </c>
      <c r="K6" s="194">
        <f>'egUSAruns (S)'!$N$7*(0.917+0.03*Calculator!$C$3-0.00181*Calculator!$C$3^2)</f>
        <v>0.8986224940086058</v>
      </c>
      <c r="M6" s="1" t="s">
        <v>278</v>
      </c>
      <c r="N6" s="1">
        <v>40</v>
      </c>
      <c r="O6" s="1">
        <v>40</v>
      </c>
      <c r="P6" s="1">
        <v>84</v>
      </c>
      <c r="Q6">
        <v>80</v>
      </c>
      <c r="R6">
        <v>80</v>
      </c>
      <c r="S6">
        <v>120</v>
      </c>
      <c r="T6">
        <v>120</v>
      </c>
      <c r="U6">
        <v>120</v>
      </c>
    </row>
    <row r="7" spans="2:21" ht="12.75">
      <c r="B7" t="s">
        <v>14</v>
      </c>
      <c r="C7" s="40" t="s">
        <v>44</v>
      </c>
      <c r="D7" s="7">
        <f>IF(C7="Yes",E7,0)</f>
        <v>1320</v>
      </c>
      <c r="E7">
        <f>IF(E5&gt;1.8,F7*C6,0)</f>
        <v>1320</v>
      </c>
      <c r="F7" s="9">
        <v>0.3</v>
      </c>
      <c r="G7" t="s">
        <v>111</v>
      </c>
      <c r="I7" s="1" t="s">
        <v>44</v>
      </c>
      <c r="J7" s="1" t="s">
        <v>45</v>
      </c>
      <c r="M7" s="187" t="s">
        <v>299</v>
      </c>
      <c r="N7" s="64">
        <v>2.3</v>
      </c>
      <c r="O7" s="64">
        <v>2.8</v>
      </c>
      <c r="P7" s="64">
        <v>3.4</v>
      </c>
      <c r="Q7" s="64">
        <v>4</v>
      </c>
      <c r="R7" s="64">
        <v>4.6</v>
      </c>
      <c r="S7" s="64">
        <v>5.2</v>
      </c>
      <c r="T7" s="64">
        <v>5.8</v>
      </c>
      <c r="U7" s="64">
        <v>6</v>
      </c>
    </row>
    <row r="8" spans="2:21" ht="12.75">
      <c r="B8" t="s">
        <v>59</v>
      </c>
      <c r="C8" s="40" t="s">
        <v>44</v>
      </c>
      <c r="D8" s="7">
        <f>IF(C8="Yes",500,0)</f>
        <v>500</v>
      </c>
      <c r="I8" s="1"/>
      <c r="J8" s="1"/>
      <c r="M8" s="1" t="s">
        <v>298</v>
      </c>
      <c r="N8" s="7">
        <v>3400</v>
      </c>
      <c r="O8" s="7">
        <v>3600</v>
      </c>
      <c r="P8" s="7">
        <v>4000</v>
      </c>
      <c r="Q8" s="7">
        <v>4400</v>
      </c>
      <c r="R8" s="7">
        <v>4800</v>
      </c>
      <c r="S8" s="7">
        <v>5800</v>
      </c>
      <c r="T8" s="7">
        <v>6200</v>
      </c>
      <c r="U8" s="7">
        <v>6400</v>
      </c>
    </row>
    <row r="9" spans="2:10" ht="12.75">
      <c r="B9" t="s">
        <v>58</v>
      </c>
      <c r="C9" s="40" t="s">
        <v>45</v>
      </c>
      <c r="D9" s="7">
        <f>IF(C9="Yes",450,0)</f>
        <v>0</v>
      </c>
      <c r="F9" t="s">
        <v>87</v>
      </c>
      <c r="I9" s="1"/>
      <c r="J9" s="1"/>
    </row>
    <row r="10" spans="2:10" ht="12.75">
      <c r="B10" t="s">
        <v>80</v>
      </c>
      <c r="C10" s="40" t="s">
        <v>78</v>
      </c>
      <c r="I10" s="1" t="s">
        <v>78</v>
      </c>
      <c r="J10" s="1" t="s">
        <v>82</v>
      </c>
    </row>
    <row r="11" spans="1:11" ht="12.75">
      <c r="A11" s="35" t="s">
        <v>17</v>
      </c>
      <c r="K11" s="35" t="s">
        <v>109</v>
      </c>
    </row>
    <row r="12" spans="2:20" ht="12.75">
      <c r="B12" t="s">
        <v>18</v>
      </c>
      <c r="C12">
        <f>30+10*C3</f>
        <v>70</v>
      </c>
      <c r="D12" t="s">
        <v>4</v>
      </c>
      <c r="F12" t="s">
        <v>12</v>
      </c>
      <c r="M12" s="1" t="s">
        <v>60</v>
      </c>
      <c r="N12" s="42">
        <f>I6</f>
        <v>0.9209960431576146</v>
      </c>
      <c r="O12" t="s">
        <v>89</v>
      </c>
      <c r="T12" s="1"/>
    </row>
    <row r="13" spans="2:20" ht="12.75">
      <c r="B13" t="s">
        <v>1</v>
      </c>
      <c r="C13">
        <v>8.3</v>
      </c>
      <c r="D13" t="s">
        <v>0</v>
      </c>
      <c r="F13" t="s">
        <v>21</v>
      </c>
      <c r="M13" s="1" t="s">
        <v>91</v>
      </c>
      <c r="N13" s="40">
        <f>IF(C10=I10,300,500)</f>
        <v>300</v>
      </c>
      <c r="O13" t="s">
        <v>93</v>
      </c>
      <c r="T13" s="1"/>
    </row>
    <row r="14" spans="2:20" ht="12.75">
      <c r="B14" t="s">
        <v>19</v>
      </c>
      <c r="C14">
        <v>1</v>
      </c>
      <c r="D14" t="s">
        <v>5</v>
      </c>
      <c r="F14" t="s">
        <v>21</v>
      </c>
      <c r="M14" s="1" t="s">
        <v>88</v>
      </c>
      <c r="N14" s="38">
        <f>IF(C10=I10,250,0)</f>
        <v>250</v>
      </c>
      <c r="O14" s="39" t="s">
        <v>90</v>
      </c>
      <c r="T14" s="1"/>
    </row>
    <row r="15" spans="2:6" ht="12.75">
      <c r="B15" t="s">
        <v>2</v>
      </c>
      <c r="C15">
        <v>120</v>
      </c>
      <c r="D15" t="s">
        <v>3</v>
      </c>
      <c r="F15" t="s">
        <v>22</v>
      </c>
    </row>
    <row r="16" spans="2:12" ht="12.75">
      <c r="B16" t="s">
        <v>6</v>
      </c>
      <c r="C16" s="227">
        <f>IF(C4="North",I4,IF(C4="Central",J4,IF(C4="South",K4,"error")))</f>
        <v>74.15333333333334</v>
      </c>
      <c r="D16" t="s">
        <v>3</v>
      </c>
      <c r="F16" t="s">
        <v>20</v>
      </c>
      <c r="L16" s="39" t="s">
        <v>110</v>
      </c>
    </row>
    <row r="17" spans="1:16" ht="12.75">
      <c r="A17" s="35" t="s">
        <v>69</v>
      </c>
      <c r="M17" s="1" t="s">
        <v>73</v>
      </c>
      <c r="N17" s="41">
        <v>0.1128</v>
      </c>
      <c r="O17" s="1" t="s">
        <v>13</v>
      </c>
      <c r="P17" t="s">
        <v>244</v>
      </c>
    </row>
    <row r="18" spans="2:16" ht="12.75">
      <c r="B18" t="s">
        <v>7</v>
      </c>
      <c r="C18" s="2">
        <f>C12*C13*C14*(C15-C16)</f>
        <v>26636.91333333333</v>
      </c>
      <c r="D18" t="s">
        <v>8</v>
      </c>
      <c r="F18" s="3" t="s">
        <v>11</v>
      </c>
      <c r="M18" s="1" t="s">
        <v>81</v>
      </c>
      <c r="N18" s="41">
        <v>2.154</v>
      </c>
      <c r="O18" s="1" t="s">
        <v>83</v>
      </c>
      <c r="P18" t="s">
        <v>243</v>
      </c>
    </row>
    <row r="19" spans="2:6" ht="12.75">
      <c r="B19" t="s">
        <v>9</v>
      </c>
      <c r="C19" s="2">
        <f>C18*365/10^3</f>
        <v>9722.473366666665</v>
      </c>
      <c r="D19" t="s">
        <v>84</v>
      </c>
      <c r="F19" t="s">
        <v>10</v>
      </c>
    </row>
    <row r="20" spans="2:12" ht="12.75">
      <c r="B20" t="s">
        <v>23</v>
      </c>
      <c r="C20" s="2">
        <f>C19/G6/3.412</f>
        <v>3093.9263788218645</v>
      </c>
      <c r="D20" t="s">
        <v>263</v>
      </c>
      <c r="E20" s="11"/>
      <c r="F20" t="s">
        <v>85</v>
      </c>
      <c r="L20" t="s">
        <v>108</v>
      </c>
    </row>
    <row r="21" spans="2:15" ht="12.75">
      <c r="B21" t="s">
        <v>204</v>
      </c>
      <c r="C21" s="2">
        <f>IF(C10=I10,C19/G5/3.412,C19/G5/100)</f>
        <v>770.9669785486755</v>
      </c>
      <c r="D21" t="s">
        <v>263</v>
      </c>
      <c r="E21" s="11"/>
      <c r="F21" t="s">
        <v>86</v>
      </c>
      <c r="M21" s="1" t="s">
        <v>95</v>
      </c>
      <c r="N21" s="43">
        <v>1.384</v>
      </c>
      <c r="O21" s="39" t="s">
        <v>96</v>
      </c>
    </row>
    <row r="22" spans="2:15" ht="12.75">
      <c r="B22" s="4" t="s">
        <v>100</v>
      </c>
      <c r="C22" s="5">
        <f>C20-C21</f>
        <v>2322.959400273189</v>
      </c>
      <c r="D22" s="4" t="str">
        <f>IF($C$10=$I$10,"kWh/year","therms/year")</f>
        <v>kWh/year</v>
      </c>
      <c r="F22" t="s">
        <v>205</v>
      </c>
      <c r="M22" s="1" t="s">
        <v>79</v>
      </c>
      <c r="O22" s="39"/>
    </row>
    <row r="23" spans="2:15" ht="12.75">
      <c r="B23" s="4" t="s">
        <v>99</v>
      </c>
      <c r="C23" s="6">
        <f>IF(C10=I10,C22*N17,C22*N18)</f>
        <v>262.0298203508157</v>
      </c>
      <c r="D23" s="4" t="s">
        <v>72</v>
      </c>
      <c r="E23" s="11"/>
      <c r="F23" t="s">
        <v>74</v>
      </c>
      <c r="M23" s="1" t="s">
        <v>95</v>
      </c>
      <c r="N23">
        <v>11.935</v>
      </c>
      <c r="O23" s="39" t="s">
        <v>97</v>
      </c>
    </row>
    <row r="24" spans="2:15" ht="12.75">
      <c r="B24" s="4" t="s">
        <v>318</v>
      </c>
      <c r="C24" s="27">
        <f>(C20-C21)/C20</f>
        <v>0.7508127588859268</v>
      </c>
      <c r="D24" s="4" t="s">
        <v>320</v>
      </c>
      <c r="F24" t="s">
        <v>319</v>
      </c>
      <c r="M24" s="1"/>
      <c r="O24" s="39"/>
    </row>
    <row r="25" spans="1:4" ht="12.75">
      <c r="A25" s="35" t="s">
        <v>68</v>
      </c>
      <c r="B25" s="12"/>
      <c r="C25" s="26"/>
      <c r="D25" s="12"/>
    </row>
    <row r="26" spans="1:6" ht="12.75">
      <c r="A26" s="35"/>
      <c r="B26" s="4" t="s">
        <v>94</v>
      </c>
      <c r="C26" s="6">
        <f>C6-D7-D8-D9-N14</f>
        <v>2330</v>
      </c>
      <c r="D26" s="12"/>
      <c r="F26" t="s">
        <v>92</v>
      </c>
    </row>
    <row r="27" spans="2:6" ht="12.75">
      <c r="B27" s="4" t="s">
        <v>15</v>
      </c>
      <c r="C27" s="8">
        <f>C26/C23</f>
        <v>8.892117686759871</v>
      </c>
      <c r="D27" s="12" t="s">
        <v>16</v>
      </c>
      <c r="F27" t="s">
        <v>75</v>
      </c>
    </row>
    <row r="28" spans="2:6" ht="12.75">
      <c r="B28" s="4" t="s">
        <v>48</v>
      </c>
      <c r="C28" s="27">
        <f>Econ!Q7</f>
        <v>0.1325882494449616</v>
      </c>
      <c r="D28" s="12"/>
      <c r="F28" t="s">
        <v>50</v>
      </c>
    </row>
    <row r="29" spans="2:6" ht="12.75">
      <c r="B29" s="4" t="s">
        <v>49</v>
      </c>
      <c r="C29" s="6">
        <f>Econ!Q8</f>
        <v>3532.1999151643704</v>
      </c>
      <c r="D29" s="12"/>
      <c r="F29" t="s">
        <v>50</v>
      </c>
    </row>
    <row r="30" spans="2:11" ht="12.75">
      <c r="B30" s="4" t="s">
        <v>119</v>
      </c>
      <c r="C30" s="16">
        <f>IF(C10=I10,Econ!I5*100,Econ!I5)</f>
        <v>6.157761300528968</v>
      </c>
      <c r="D30" s="12" t="str">
        <f>IF(C10=I10,"¢ / kWh","$ / therm")</f>
        <v>¢ / kWh</v>
      </c>
      <c r="K30" s="35" t="s">
        <v>241</v>
      </c>
    </row>
    <row r="31" spans="1:7" ht="12.75">
      <c r="A31" s="35" t="s">
        <v>43</v>
      </c>
      <c r="B31" s="35"/>
      <c r="C31" s="35" t="s">
        <v>35</v>
      </c>
      <c r="D31" s="35"/>
      <c r="E31" s="35" t="s">
        <v>28</v>
      </c>
      <c r="F31" s="35"/>
      <c r="G31" s="35" t="s">
        <v>36</v>
      </c>
    </row>
    <row r="32" spans="2:12" ht="12.75">
      <c r="B32" s="4" t="s">
        <v>40</v>
      </c>
      <c r="C32" s="18">
        <f>Econ!F16</f>
        <v>2102.8612973714057</v>
      </c>
      <c r="D32" s="18"/>
      <c r="E32" s="18">
        <f>Econ!L16</f>
        <v>3041.7093948590227</v>
      </c>
      <c r="F32" s="18"/>
      <c r="G32" s="18">
        <f aca="true" t="shared" si="1" ref="G32:G37">C32-E32</f>
        <v>-938.848097487617</v>
      </c>
      <c r="L32" t="s">
        <v>225</v>
      </c>
    </row>
    <row r="33" spans="2:12" ht="12.75">
      <c r="B33" s="4" t="s">
        <v>37</v>
      </c>
      <c r="C33" s="18">
        <f>Econ!F21</f>
        <v>4654.010276491176</v>
      </c>
      <c r="D33" s="18"/>
      <c r="E33" s="18">
        <f>Econ!L21</f>
        <v>4148.121587401081</v>
      </c>
      <c r="F33" s="18"/>
      <c r="G33" s="18">
        <f t="shared" si="1"/>
        <v>505.8886890900949</v>
      </c>
      <c r="L33" t="s">
        <v>226</v>
      </c>
    </row>
    <row r="34" spans="2:12" ht="12.75">
      <c r="B34" s="4" t="s">
        <v>41</v>
      </c>
      <c r="C34" s="18">
        <f>Econ!F26</f>
        <v>7144.100922681408</v>
      </c>
      <c r="D34" s="18"/>
      <c r="E34" s="18">
        <f>Econ!L26</f>
        <v>4768.620405649185</v>
      </c>
      <c r="F34" s="18"/>
      <c r="G34" s="18">
        <f t="shared" si="1"/>
        <v>2375.4805170322225</v>
      </c>
      <c r="L34" t="s">
        <v>227</v>
      </c>
    </row>
    <row r="35" spans="2:12" ht="12.75">
      <c r="B35" s="4" t="s">
        <v>38</v>
      </c>
      <c r="C35" s="18">
        <f>Econ!F31</f>
        <v>10572.631821867502</v>
      </c>
      <c r="D35" s="18"/>
      <c r="E35" s="18">
        <f>Econ!L31</f>
        <v>6255.5458735125</v>
      </c>
      <c r="F35" s="18"/>
      <c r="G35" s="18">
        <f t="shared" si="1"/>
        <v>4317.085948355002</v>
      </c>
      <c r="L35" t="s">
        <v>228</v>
      </c>
    </row>
    <row r="36" spans="2:12" ht="12.75">
      <c r="B36" s="4" t="s">
        <v>42</v>
      </c>
      <c r="C36" s="18">
        <f>Econ!F36</f>
        <v>13919.105427334145</v>
      </c>
      <c r="D36" s="18"/>
      <c r="E36" s="18">
        <f>Econ!L36</f>
        <v>7089.444398719799</v>
      </c>
      <c r="F36" s="18"/>
      <c r="G36" s="18">
        <f t="shared" si="1"/>
        <v>6829.661028614346</v>
      </c>
      <c r="L36" t="s">
        <v>229</v>
      </c>
    </row>
    <row r="37" spans="2:12" ht="12.75">
      <c r="B37" s="4" t="s">
        <v>39</v>
      </c>
      <c r="C37" s="18">
        <f>Econ!F41</f>
        <v>18526.764259837768</v>
      </c>
      <c r="D37" s="18"/>
      <c r="E37" s="18">
        <f>Econ!L41</f>
        <v>9087.747889845232</v>
      </c>
      <c r="F37" s="18"/>
      <c r="G37" s="18">
        <f t="shared" si="1"/>
        <v>9439.016369992536</v>
      </c>
      <c r="L37" t="s">
        <v>230</v>
      </c>
    </row>
    <row r="38" spans="1:12" ht="12.75">
      <c r="A38" t="s">
        <v>105</v>
      </c>
      <c r="L38" t="s">
        <v>231</v>
      </c>
    </row>
    <row r="39" spans="2:12" ht="12.75">
      <c r="B39" s="4" t="s">
        <v>98</v>
      </c>
      <c r="C39" s="5">
        <f>IF(C10=I10,C22*N21,C22*N23)</f>
        <v>3214.975809978094</v>
      </c>
      <c r="D39" s="4" t="s">
        <v>125</v>
      </c>
      <c r="L39" t="s">
        <v>232</v>
      </c>
    </row>
    <row r="40" spans="2:12" ht="12.75">
      <c r="B40" s="4" t="s">
        <v>103</v>
      </c>
      <c r="C40" s="6">
        <f>C39/2000*E40</f>
        <v>48.22463714967141</v>
      </c>
      <c r="D40" s="4" t="s">
        <v>72</v>
      </c>
      <c r="E40" s="13">
        <v>30</v>
      </c>
      <c r="F40" t="s">
        <v>101</v>
      </c>
      <c r="L40" t="s">
        <v>233</v>
      </c>
    </row>
    <row r="41" spans="2:12" ht="12.75">
      <c r="B41" s="4" t="s">
        <v>102</v>
      </c>
      <c r="C41" s="6">
        <f>IF(C10=I10,C22*E41,C22*G41)</f>
        <v>69.68878200819567</v>
      </c>
      <c r="D41" s="4" t="s">
        <v>72</v>
      </c>
      <c r="E41" s="13">
        <f>0.03</f>
        <v>0.03</v>
      </c>
      <c r="F41" t="s">
        <v>104</v>
      </c>
      <c r="G41" s="11">
        <f>E41*293/10*40%</f>
        <v>0.35159999999999997</v>
      </c>
      <c r="H41" t="s">
        <v>107</v>
      </c>
      <c r="L41" t="s">
        <v>234</v>
      </c>
    </row>
    <row r="42" spans="2:12" ht="12.75">
      <c r="B42" s="4" t="s">
        <v>106</v>
      </c>
      <c r="C42" s="6">
        <f>+C40+C41</f>
        <v>117.91341915786708</v>
      </c>
      <c r="D42" s="4" t="s">
        <v>72</v>
      </c>
      <c r="E42" s="12"/>
      <c r="L42" t="s">
        <v>235</v>
      </c>
    </row>
    <row r="43" ht="12.75">
      <c r="L43" t="s">
        <v>236</v>
      </c>
    </row>
  </sheetData>
  <sheetProtection password="DC79" sheet="1" objects="1" scenarios="1"/>
  <mergeCells count="1">
    <mergeCell ref="A1:I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42"/>
  <sheetViews>
    <sheetView workbookViewId="0" topLeftCell="A1">
      <selection activeCell="A1" sqref="A1:I1"/>
    </sheetView>
  </sheetViews>
  <sheetFormatPr defaultColWidth="9.140625" defaultRowHeight="12.75"/>
  <cols>
    <col min="1" max="1" width="4.421875" style="0" customWidth="1"/>
    <col min="2" max="2" width="21.421875" style="0" customWidth="1"/>
    <col min="3" max="3" width="9.7109375" style="0" bestFit="1" customWidth="1"/>
    <col min="6" max="7" width="10.57421875" style="0" customWidth="1"/>
  </cols>
  <sheetData>
    <row r="1" spans="1:9" ht="15.75">
      <c r="A1" s="233" t="s">
        <v>77</v>
      </c>
      <c r="B1" s="239"/>
      <c r="C1" s="239"/>
      <c r="D1" s="239"/>
      <c r="E1" s="239"/>
      <c r="F1" s="239"/>
      <c r="G1" s="239"/>
      <c r="H1" s="239"/>
      <c r="I1" s="239"/>
    </row>
    <row r="2" spans="1:2" ht="12.75">
      <c r="A2" s="46" t="s">
        <v>114</v>
      </c>
      <c r="B2" s="12"/>
    </row>
    <row r="3" spans="2:11" ht="12.75">
      <c r="B3" t="s">
        <v>62</v>
      </c>
      <c r="C3" s="44">
        <f>'Page 2'!C30*use_factor</f>
        <v>4</v>
      </c>
      <c r="D3" s="79">
        <f>IF('Page 2'!C5='Page 2'!Z5,1.5,IF('Page 2'!C5='Page 2'!AA5,1,0.5))</f>
        <v>1</v>
      </c>
      <c r="E3">
        <f>IF(C3&lt;4,3500,IF(C3&lt;5,4000,IF(C3&lt;6,4500,5000)))</f>
        <v>4000</v>
      </c>
      <c r="I3" s="1" t="s">
        <v>64</v>
      </c>
      <c r="J3" s="1" t="s">
        <v>65</v>
      </c>
      <c r="K3" s="1" t="s">
        <v>66</v>
      </c>
    </row>
    <row r="4" spans="2:15" ht="12.75">
      <c r="B4" t="s">
        <v>63</v>
      </c>
      <c r="C4" s="45" t="str">
        <f>'Page 1'!C5</f>
        <v>North</v>
      </c>
      <c r="D4" s="3"/>
      <c r="I4" s="79">
        <f>'T-mains'!N5</f>
        <v>74.15333333333334</v>
      </c>
      <c r="J4" s="79">
        <f>'T-mains'!N8</f>
        <v>77.42874999999998</v>
      </c>
      <c r="K4" s="79">
        <f>'T-mains'!N12</f>
        <v>81.77583333333332</v>
      </c>
      <c r="O4" t="s">
        <v>305</v>
      </c>
    </row>
    <row r="5" spans="2:17" ht="12.75">
      <c r="B5" t="s">
        <v>61</v>
      </c>
      <c r="C5" s="226">
        <f>'Page 2'!C4</f>
        <v>4</v>
      </c>
      <c r="F5" s="74" t="s">
        <v>252</v>
      </c>
      <c r="G5" s="181">
        <f>IF($C$4=$I$3,I5,IF(C4=$J$3,J5,K5))</f>
        <v>3.6959999999999997</v>
      </c>
      <c r="H5" s="1" t="s">
        <v>301</v>
      </c>
      <c r="I5" s="194">
        <f>$C$5*(1.76-0.277*$C$3+0.017*$C$3^2)</f>
        <v>3.6959999999999997</v>
      </c>
      <c r="J5" s="194">
        <f>$C$5*(1.96-0.35*$C$3+0.0211*$C$3^2)</f>
        <v>3.5904000000000003</v>
      </c>
      <c r="K5" s="194">
        <f>$C$5*(2.208-0.445*$C$3+0.0287*$C$3^2)</f>
        <v>3.548800000000001</v>
      </c>
      <c r="O5" s="1" t="s">
        <v>64</v>
      </c>
      <c r="P5" s="1" t="s">
        <v>65</v>
      </c>
      <c r="Q5" s="1" t="s">
        <v>66</v>
      </c>
    </row>
    <row r="6" spans="2:17" ht="12.75">
      <c r="B6" t="s">
        <v>67</v>
      </c>
      <c r="C6" s="38">
        <f>'Page 2'!C6</f>
        <v>4400</v>
      </c>
      <c r="D6" s="39" t="s">
        <v>112</v>
      </c>
      <c r="F6" s="75" t="s">
        <v>261</v>
      </c>
      <c r="G6" s="181">
        <f>IF($C$4=$I$3,I6,IF(C4=$J$3,J6,K6))</f>
        <v>0.9209960431576146</v>
      </c>
      <c r="H6" s="1" t="s">
        <v>302</v>
      </c>
      <c r="I6" s="194">
        <f>'egUSAruns (N)'!$N$7*(0.924+0.0274*Calculator!$C$3-0.00166*Calculator!$C$3^2)</f>
        <v>0.9209960431576146</v>
      </c>
      <c r="J6" s="194">
        <f>'egUSAruns (C)'!$N$7*(0.92+0.0286*Calculator!$C$3-0.00172*Calculator!$C$3^2)</f>
        <v>0.9269644890713675</v>
      </c>
      <c r="K6" s="194">
        <f>'egUSAruns (S)'!$N$7*(0.917+0.03*Calculator!$C$3-0.00181*Calculator!$C$3^2)</f>
        <v>0.8986224940086058</v>
      </c>
      <c r="M6" s="74" t="s">
        <v>262</v>
      </c>
      <c r="N6" s="181">
        <f>IF(C4=O5,O6,IF(C4=P5,P6,Q6))</f>
        <v>0.5769675057246195</v>
      </c>
      <c r="O6" s="194">
        <f>'egUSAruns (N)'!S7*(0.784+0.0735*Calculator!$C$3-0.004*Calculator!$C$3^2)</f>
        <v>0.5769675057246195</v>
      </c>
      <c r="P6" s="194">
        <f>'egUSAruns (C)'!S7*(0.782+0.0767*Calculator!$C$3-0.0042*Calculator!$C$3^2)</f>
        <v>0.5804298216045862</v>
      </c>
      <c r="Q6" s="194">
        <f>'egUSAruns (S)'!S7*(0.784+0.0772*Calculator!$C$3-0.0041*Calculator!$C$3^2)</f>
        <v>0.5584415920127451</v>
      </c>
    </row>
    <row r="7" spans="2:10" ht="12.75">
      <c r="B7" t="s">
        <v>14</v>
      </c>
      <c r="C7" s="56" t="str">
        <f>'Page 2'!C7</f>
        <v>Yes</v>
      </c>
      <c r="D7" s="7">
        <f>IF(C7="Yes",E7,0)</f>
        <v>1320</v>
      </c>
      <c r="E7">
        <f>IF(C5&gt;1.8,F7*C6,0)</f>
        <v>1320</v>
      </c>
      <c r="F7" s="9">
        <v>0.3</v>
      </c>
      <c r="G7" t="s">
        <v>111</v>
      </c>
      <c r="I7" s="1" t="s">
        <v>44</v>
      </c>
      <c r="J7" s="1" t="s">
        <v>45</v>
      </c>
    </row>
    <row r="8" spans="2:10" ht="12.75">
      <c r="B8" t="s">
        <v>59</v>
      </c>
      <c r="C8" s="56" t="str">
        <f>'Page 2'!C8</f>
        <v>Yes</v>
      </c>
      <c r="D8" s="7">
        <f>IF(C8="Yes",500,0)</f>
        <v>500</v>
      </c>
      <c r="I8" s="1"/>
      <c r="J8" s="1"/>
    </row>
    <row r="9" spans="2:10" ht="12.75">
      <c r="B9" t="s">
        <v>58</v>
      </c>
      <c r="C9" s="56"/>
      <c r="D9" s="7">
        <f>'Page 2'!C9</f>
        <v>0</v>
      </c>
      <c r="F9" t="s">
        <v>87</v>
      </c>
      <c r="I9" s="1"/>
      <c r="J9" s="1"/>
    </row>
    <row r="10" spans="2:10" ht="12.75">
      <c r="B10" t="s">
        <v>80</v>
      </c>
      <c r="C10" s="56" t="str">
        <f>'Page 2'!C10</f>
        <v>Electric</v>
      </c>
      <c r="I10" s="1" t="s">
        <v>78</v>
      </c>
      <c r="J10" s="1" t="s">
        <v>82</v>
      </c>
    </row>
    <row r="11" spans="1:11" ht="12.75">
      <c r="A11" s="35" t="s">
        <v>17</v>
      </c>
      <c r="K11" s="35" t="s">
        <v>109</v>
      </c>
    </row>
    <row r="12" spans="2:20" ht="12.75">
      <c r="B12" t="s">
        <v>18</v>
      </c>
      <c r="C12">
        <f>30+10*C3</f>
        <v>70</v>
      </c>
      <c r="D12" t="s">
        <v>4</v>
      </c>
      <c r="F12" t="s">
        <v>12</v>
      </c>
      <c r="M12" s="1" t="s">
        <v>60</v>
      </c>
      <c r="N12" s="42">
        <f>G6</f>
        <v>0.9209960431576146</v>
      </c>
      <c r="O12" t="s">
        <v>89</v>
      </c>
      <c r="T12" s="1"/>
    </row>
    <row r="13" spans="2:20" ht="12.75">
      <c r="B13" t="s">
        <v>1</v>
      </c>
      <c r="C13">
        <v>8.3</v>
      </c>
      <c r="D13" t="s">
        <v>0</v>
      </c>
      <c r="F13" t="s">
        <v>21</v>
      </c>
      <c r="M13" s="1" t="s">
        <v>91</v>
      </c>
      <c r="N13" s="40">
        <f>IF(C10=I10,300,500)</f>
        <v>300</v>
      </c>
      <c r="O13" t="s">
        <v>93</v>
      </c>
      <c r="T13" s="1"/>
    </row>
    <row r="14" spans="2:20" ht="12.75">
      <c r="B14" t="s">
        <v>19</v>
      </c>
      <c r="C14">
        <v>1</v>
      </c>
      <c r="D14" t="s">
        <v>5</v>
      </c>
      <c r="F14" t="s">
        <v>21</v>
      </c>
      <c r="M14" s="1" t="s">
        <v>88</v>
      </c>
      <c r="N14" s="38">
        <f>IF(C10=I10,250,0)</f>
        <v>250</v>
      </c>
      <c r="O14" s="39" t="s">
        <v>90</v>
      </c>
      <c r="T14" s="1"/>
    </row>
    <row r="15" spans="2:6" ht="12.75">
      <c r="B15" t="s">
        <v>2</v>
      </c>
      <c r="C15">
        <v>120</v>
      </c>
      <c r="D15" t="s">
        <v>3</v>
      </c>
      <c r="F15" t="s">
        <v>22</v>
      </c>
    </row>
    <row r="16" spans="2:12" ht="12.75">
      <c r="B16" t="s">
        <v>6</v>
      </c>
      <c r="C16" s="227">
        <f>IF(C4="North",I4,IF(C4="Central",J4,IF(C4="South",K4,#REF!)))</f>
        <v>74.15333333333334</v>
      </c>
      <c r="D16" t="s">
        <v>3</v>
      </c>
      <c r="F16" t="s">
        <v>20</v>
      </c>
      <c r="L16" s="39" t="s">
        <v>110</v>
      </c>
    </row>
    <row r="17" spans="1:15" ht="12.75">
      <c r="A17" s="35" t="s">
        <v>69</v>
      </c>
      <c r="M17" s="1" t="s">
        <v>73</v>
      </c>
      <c r="N17" s="41">
        <f>'Page 2'!C13</f>
        <v>0.1128</v>
      </c>
      <c r="O17" s="1" t="s">
        <v>13</v>
      </c>
    </row>
    <row r="18" spans="2:15" ht="12.75">
      <c r="B18" t="s">
        <v>7</v>
      </c>
      <c r="C18" s="2">
        <f>C12*C13*C14*(C15-C16)</f>
        <v>26636.91333333333</v>
      </c>
      <c r="D18" t="s">
        <v>8</v>
      </c>
      <c r="F18" s="3" t="s">
        <v>11</v>
      </c>
      <c r="M18" s="1" t="s">
        <v>81</v>
      </c>
      <c r="N18" s="41">
        <f>'Page 2'!C14</f>
        <v>2.154</v>
      </c>
      <c r="O18" s="1" t="s">
        <v>83</v>
      </c>
    </row>
    <row r="19" spans="2:6" ht="12.75">
      <c r="B19" t="s">
        <v>9</v>
      </c>
      <c r="C19" s="2">
        <f>C18*365/10^3</f>
        <v>9722.473366666665</v>
      </c>
      <c r="D19" t="s">
        <v>84</v>
      </c>
      <c r="F19" t="s">
        <v>10</v>
      </c>
    </row>
    <row r="20" spans="2:12" ht="12.75">
      <c r="B20" t="s">
        <v>23</v>
      </c>
      <c r="C20" s="2">
        <f>IF(C10=I10,C19/G6/3.412,C19/N6/100)</f>
        <v>3093.9263788218645</v>
      </c>
      <c r="D20" t="str">
        <f>IF($C$10=$I$10,"kWh/yr","therms/yr")</f>
        <v>kWh/yr</v>
      </c>
      <c r="F20" t="s">
        <v>85</v>
      </c>
      <c r="L20" t="s">
        <v>108</v>
      </c>
    </row>
    <row r="21" spans="2:15" ht="12.75">
      <c r="B21" t="s">
        <v>204</v>
      </c>
      <c r="C21" s="2">
        <f>IF(C10=I10,C19/G5/3.412,C19/(G5*(N6/G6))/100)</f>
        <v>770.9669785486755</v>
      </c>
      <c r="D21" t="str">
        <f>IF($C$10=$I$10,"kWh/yr","therms/yr")</f>
        <v>kWh/yr</v>
      </c>
      <c r="E21" s="11"/>
      <c r="F21" t="s">
        <v>86</v>
      </c>
      <c r="M21" s="1" t="s">
        <v>95</v>
      </c>
      <c r="N21" s="43">
        <f>Calculator!N21</f>
        <v>1.384</v>
      </c>
      <c r="O21" s="39" t="s">
        <v>96</v>
      </c>
    </row>
    <row r="22" spans="2:15" ht="12.75">
      <c r="B22" s="4" t="s">
        <v>100</v>
      </c>
      <c r="C22" s="5">
        <f>C20-C21</f>
        <v>2322.959400273189</v>
      </c>
      <c r="D22" s="4" t="str">
        <f>IF($C$10=$I$10,"kWh/year","therms/year")</f>
        <v>kWh/year</v>
      </c>
      <c r="F22" t="s">
        <v>205</v>
      </c>
      <c r="M22" s="1" t="s">
        <v>79</v>
      </c>
      <c r="O22" s="39"/>
    </row>
    <row r="23" spans="2:15" ht="12.75">
      <c r="B23" s="4" t="s">
        <v>99</v>
      </c>
      <c r="C23" s="6">
        <f>IF(C10=I10,C22*N17,C22*N18)</f>
        <v>262.0298203508157</v>
      </c>
      <c r="D23" s="4" t="s">
        <v>72</v>
      </c>
      <c r="F23" t="s">
        <v>74</v>
      </c>
      <c r="M23" s="1" t="s">
        <v>95</v>
      </c>
      <c r="N23">
        <f>Calculator!N23</f>
        <v>11.935</v>
      </c>
      <c r="O23" s="39" t="s">
        <v>97</v>
      </c>
    </row>
    <row r="24" spans="2:15" ht="12.75">
      <c r="B24" s="4" t="s">
        <v>318</v>
      </c>
      <c r="C24" s="27">
        <f>(C20-C21)/C20</f>
        <v>0.7508127588859268</v>
      </c>
      <c r="D24" s="4" t="s">
        <v>320</v>
      </c>
      <c r="F24" t="s">
        <v>319</v>
      </c>
      <c r="M24" s="1"/>
      <c r="O24" s="39"/>
    </row>
    <row r="25" spans="1:4" ht="12.75">
      <c r="A25" s="35" t="s">
        <v>68</v>
      </c>
      <c r="B25" s="12"/>
      <c r="C25" s="26"/>
      <c r="D25" s="12"/>
    </row>
    <row r="26" spans="1:6" ht="12.75">
      <c r="A26" s="35"/>
      <c r="B26" s="4" t="s">
        <v>94</v>
      </c>
      <c r="C26" s="6">
        <f>C6-D7-D8-D9-N14</f>
        <v>2330</v>
      </c>
      <c r="D26" s="12"/>
      <c r="F26" t="s">
        <v>92</v>
      </c>
    </row>
    <row r="27" spans="2:6" ht="12.75">
      <c r="B27" s="4" t="s">
        <v>15</v>
      </c>
      <c r="C27" s="8">
        <f>C26/C23</f>
        <v>8.892117686759871</v>
      </c>
      <c r="D27" s="12" t="s">
        <v>16</v>
      </c>
      <c r="F27" t="s">
        <v>75</v>
      </c>
    </row>
    <row r="28" spans="2:6" ht="12.75">
      <c r="B28" s="4" t="s">
        <v>48</v>
      </c>
      <c r="C28" s="27">
        <f>Econ!Q7</f>
        <v>0.1325882494449616</v>
      </c>
      <c r="D28" s="12"/>
      <c r="F28" t="s">
        <v>50</v>
      </c>
    </row>
    <row r="29" spans="2:12" ht="12.75">
      <c r="B29" s="4" t="s">
        <v>49</v>
      </c>
      <c r="C29" s="6">
        <f>Econ!Q8</f>
        <v>3532.1999151643704</v>
      </c>
      <c r="D29" s="12"/>
      <c r="F29" t="s">
        <v>50</v>
      </c>
      <c r="K29" s="10">
        <v>0.3</v>
      </c>
      <c r="L29">
        <v>2000</v>
      </c>
    </row>
    <row r="30" spans="2:12" ht="12.75">
      <c r="B30" s="4" t="s">
        <v>119</v>
      </c>
      <c r="C30" s="16">
        <f>IF(C10=I10,'Econ (2)'!I5*100,'Econ (2)'!I5)</f>
        <v>6.157761300528968</v>
      </c>
      <c r="D30" s="12" t="str">
        <f>IF(C10=I10,"¢ / kWh","$ / therm")</f>
        <v>¢ / kWh</v>
      </c>
      <c r="L30">
        <f>L29/K29</f>
        <v>6666.666666666667</v>
      </c>
    </row>
    <row r="31" spans="1:7" ht="12.75">
      <c r="A31" s="35" t="s">
        <v>43</v>
      </c>
      <c r="B31" s="35"/>
      <c r="C31" s="35" t="s">
        <v>35</v>
      </c>
      <c r="D31" s="35"/>
      <c r="E31" s="35" t="s">
        <v>28</v>
      </c>
      <c r="F31" s="35"/>
      <c r="G31" s="35" t="s">
        <v>36</v>
      </c>
    </row>
    <row r="32" spans="2:7" ht="12.75">
      <c r="B32" s="4" t="s">
        <v>40</v>
      </c>
      <c r="C32" s="18">
        <f>Econ!F16</f>
        <v>2102.8612973714057</v>
      </c>
      <c r="D32" s="18"/>
      <c r="E32" s="18">
        <f>Econ!L16</f>
        <v>3041.7093948590227</v>
      </c>
      <c r="F32" s="18"/>
      <c r="G32" s="18">
        <f aca="true" t="shared" si="0" ref="G32:G37">C32-E32</f>
        <v>-938.848097487617</v>
      </c>
    </row>
    <row r="33" spans="2:7" ht="12.75">
      <c r="B33" s="4" t="s">
        <v>37</v>
      </c>
      <c r="C33" s="18">
        <f>Econ!F21</f>
        <v>4654.010276491176</v>
      </c>
      <c r="D33" s="18"/>
      <c r="E33" s="18">
        <f>Econ!L21</f>
        <v>4148.121587401081</v>
      </c>
      <c r="F33" s="18"/>
      <c r="G33" s="18">
        <f t="shared" si="0"/>
        <v>505.8886890900949</v>
      </c>
    </row>
    <row r="34" spans="2:7" ht="12.75">
      <c r="B34" s="4" t="s">
        <v>41</v>
      </c>
      <c r="C34" s="18">
        <f>Econ!F26</f>
        <v>7144.100922681408</v>
      </c>
      <c r="D34" s="18"/>
      <c r="E34" s="18">
        <f>Econ!L26</f>
        <v>4768.620405649185</v>
      </c>
      <c r="F34" s="18"/>
      <c r="G34" s="18">
        <f t="shared" si="0"/>
        <v>2375.4805170322225</v>
      </c>
    </row>
    <row r="35" spans="2:7" ht="12.75">
      <c r="B35" s="4" t="s">
        <v>38</v>
      </c>
      <c r="C35" s="18">
        <f>Econ!F31</f>
        <v>10572.631821867502</v>
      </c>
      <c r="D35" s="18"/>
      <c r="E35" s="18">
        <f>Econ!L31</f>
        <v>6255.5458735125</v>
      </c>
      <c r="F35" s="18"/>
      <c r="G35" s="18">
        <f t="shared" si="0"/>
        <v>4317.085948355002</v>
      </c>
    </row>
    <row r="36" spans="2:7" ht="12.75">
      <c r="B36" s="4" t="s">
        <v>42</v>
      </c>
      <c r="C36" s="18">
        <f>Econ!F36</f>
        <v>13919.105427334145</v>
      </c>
      <c r="D36" s="18"/>
      <c r="E36" s="18">
        <f>Econ!L36</f>
        <v>7089.444398719799</v>
      </c>
      <c r="F36" s="18"/>
      <c r="G36" s="18">
        <f t="shared" si="0"/>
        <v>6829.661028614346</v>
      </c>
    </row>
    <row r="37" spans="2:7" ht="12.75">
      <c r="B37" s="4" t="s">
        <v>39</v>
      </c>
      <c r="C37" s="18">
        <f>Econ!F41</f>
        <v>18526.764259837768</v>
      </c>
      <c r="D37" s="18"/>
      <c r="E37" s="18">
        <f>Econ!L41</f>
        <v>9087.747889845232</v>
      </c>
      <c r="F37" s="18"/>
      <c r="G37" s="18">
        <f t="shared" si="0"/>
        <v>9439.016369992536</v>
      </c>
    </row>
    <row r="38" ht="12.75">
      <c r="A38" t="s">
        <v>105</v>
      </c>
    </row>
    <row r="39" spans="2:4" ht="12.75">
      <c r="B39" s="4" t="s">
        <v>98</v>
      </c>
      <c r="C39" s="5">
        <f>IF(C10=I10,C22*N21,C22*N23)</f>
        <v>3214.975809978094</v>
      </c>
      <c r="D39" s="4" t="s">
        <v>125</v>
      </c>
    </row>
    <row r="40" spans="2:6" ht="12.75">
      <c r="B40" s="4" t="s">
        <v>103</v>
      </c>
      <c r="C40" s="6">
        <f>C39/2000*E40</f>
        <v>48.22463714967141</v>
      </c>
      <c r="D40" s="4" t="s">
        <v>72</v>
      </c>
      <c r="E40" s="13">
        <v>30</v>
      </c>
      <c r="F40" t="s">
        <v>101</v>
      </c>
    </row>
    <row r="41" spans="2:8" ht="12.75">
      <c r="B41" s="4" t="s">
        <v>102</v>
      </c>
      <c r="C41" s="6">
        <f>IF(C10=I10,C22*E41,C22*G41)</f>
        <v>69.68878200819567</v>
      </c>
      <c r="D41" s="4" t="s">
        <v>72</v>
      </c>
      <c r="E41" s="13">
        <f>0.03</f>
        <v>0.03</v>
      </c>
      <c r="F41" t="s">
        <v>104</v>
      </c>
      <c r="G41" s="11">
        <f>E41*293/10*40%</f>
        <v>0.35159999999999997</v>
      </c>
      <c r="H41" t="s">
        <v>107</v>
      </c>
    </row>
    <row r="42" spans="2:5" ht="12.75">
      <c r="B42" s="4" t="s">
        <v>106</v>
      </c>
      <c r="C42" s="6">
        <f>+C40+C41</f>
        <v>117.91341915786708</v>
      </c>
      <c r="D42" s="4" t="s">
        <v>72</v>
      </c>
      <c r="E42" s="12"/>
    </row>
  </sheetData>
  <sheetProtection password="DC79" sheet="1" objects="1" scenarios="1"/>
  <mergeCells count="1">
    <mergeCell ref="A1:I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44"/>
  <sheetViews>
    <sheetView workbookViewId="0" topLeftCell="A1">
      <selection activeCell="A1" sqref="A1"/>
    </sheetView>
  </sheetViews>
  <sheetFormatPr defaultColWidth="9.140625" defaultRowHeight="12.75"/>
  <cols>
    <col min="1" max="1" width="3.7109375" style="0" customWidth="1"/>
    <col min="2" max="2" width="6.7109375" style="0" customWidth="1"/>
    <col min="5" max="5" width="10.140625" style="0" customWidth="1"/>
    <col min="6" max="6" width="10.7109375" style="0" customWidth="1"/>
    <col min="7" max="7" width="3.00390625" style="0" customWidth="1"/>
    <col min="8" max="8" width="6.7109375" style="0" customWidth="1"/>
    <col min="12" max="12" width="10.8515625" style="0" customWidth="1"/>
    <col min="13" max="13" width="2.8515625" style="0" customWidth="1"/>
    <col min="14" max="14" width="10.8515625" style="0" customWidth="1"/>
    <col min="15" max="15" width="3.00390625" style="0" customWidth="1"/>
    <col min="16" max="16" width="11.00390625" style="0" customWidth="1"/>
    <col min="17" max="17" width="9.140625" style="22" customWidth="1"/>
    <col min="18" max="18" width="3.7109375" style="0" customWidth="1"/>
    <col min="19" max="19" width="0" style="0" hidden="1" customWidth="1"/>
  </cols>
  <sheetData>
    <row r="1" spans="1:17" ht="12.75">
      <c r="A1" s="19" t="s">
        <v>52</v>
      </c>
      <c r="B1" s="20"/>
      <c r="C1" s="19"/>
      <c r="D1" s="19"/>
      <c r="E1" s="19"/>
      <c r="F1" s="19"/>
      <c r="G1" s="19"/>
      <c r="H1" s="19"/>
      <c r="I1" s="19"/>
      <c r="J1" s="19"/>
      <c r="K1" s="19"/>
      <c r="L1" s="19"/>
      <c r="M1" s="19"/>
      <c r="N1" s="19"/>
      <c r="O1" s="19"/>
      <c r="P1" s="19"/>
      <c r="Q1" s="28"/>
    </row>
    <row r="2" spans="1:17" ht="12.75">
      <c r="A2" s="19"/>
      <c r="B2" s="20"/>
      <c r="C2" s="19"/>
      <c r="D2" s="19"/>
      <c r="E2" s="19"/>
      <c r="F2" s="19"/>
      <c r="G2" s="19"/>
      <c r="H2" s="19"/>
      <c r="I2" s="19"/>
      <c r="J2" s="19"/>
      <c r="K2" s="19"/>
      <c r="L2" s="19"/>
      <c r="M2" s="19"/>
      <c r="N2" s="19"/>
      <c r="O2" s="19"/>
      <c r="P2" s="19"/>
      <c r="Q2" s="28"/>
    </row>
    <row r="3" spans="1:10" ht="12.75">
      <c r="A3" t="s">
        <v>25</v>
      </c>
      <c r="D3" s="62">
        <v>0.03</v>
      </c>
      <c r="H3" s="31" t="s">
        <v>115</v>
      </c>
      <c r="I3" s="47">
        <f>discount_rate/(1-(1+discount_rate)^-30)</f>
        <v>0.061391542908593236</v>
      </c>
      <c r="J3" s="10" t="s">
        <v>116</v>
      </c>
    </row>
    <row r="4" spans="1:9" ht="12.75">
      <c r="A4" t="s">
        <v>26</v>
      </c>
      <c r="D4" s="62">
        <v>0</v>
      </c>
      <c r="H4" s="31" t="s">
        <v>117</v>
      </c>
      <c r="I4" s="48">
        <f>(I11-C11)*I3</f>
        <v>143.04229497702224</v>
      </c>
    </row>
    <row r="5" spans="1:10" ht="12.75">
      <c r="A5" t="s">
        <v>46</v>
      </c>
      <c r="D5" s="63">
        <v>0.045</v>
      </c>
      <c r="H5" s="1" t="s">
        <v>118</v>
      </c>
      <c r="I5" s="49">
        <f>I4/Calculator!C22</f>
        <v>0.061577613005289675</v>
      </c>
      <c r="J5" s="34"/>
    </row>
    <row r="6" spans="1:11" ht="12.75">
      <c r="A6" t="s">
        <v>29</v>
      </c>
      <c r="D6" s="36">
        <v>300</v>
      </c>
      <c r="E6" t="s">
        <v>70</v>
      </c>
      <c r="J6" s="36">
        <f>D6+125</f>
        <v>425</v>
      </c>
      <c r="K6" t="s">
        <v>71</v>
      </c>
    </row>
    <row r="7" spans="16:17" ht="12.75">
      <c r="P7" s="25" t="s">
        <v>54</v>
      </c>
      <c r="Q7" s="29">
        <f>XIRR(P11:P41,Q11:Q41,0.1)</f>
        <v>0.1325882494449616</v>
      </c>
    </row>
    <row r="8" spans="1:17" ht="12.75">
      <c r="A8" t="s">
        <v>55</v>
      </c>
      <c r="I8" s="31"/>
      <c r="J8" s="32"/>
      <c r="K8" s="31"/>
      <c r="L8" s="33"/>
      <c r="P8" s="25" t="s">
        <v>53</v>
      </c>
      <c r="Q8" s="30">
        <f>XNPV(D5,P11:P41,Q11:Q41)</f>
        <v>3532.1999151643704</v>
      </c>
    </row>
    <row r="9" spans="2:19" ht="12.75">
      <c r="B9" t="s">
        <v>27</v>
      </c>
      <c r="H9" t="s">
        <v>28</v>
      </c>
      <c r="N9" s="1" t="s">
        <v>51</v>
      </c>
      <c r="O9" s="1"/>
      <c r="P9" s="1" t="s">
        <v>56</v>
      </c>
      <c r="Q9" s="23" t="s">
        <v>57</v>
      </c>
      <c r="S9" s="1" t="s">
        <v>76</v>
      </c>
    </row>
    <row r="10" spans="2:19" ht="12.75">
      <c r="B10" s="1" t="s">
        <v>24</v>
      </c>
      <c r="C10" s="1" t="s">
        <v>30</v>
      </c>
      <c r="D10" s="1" t="s">
        <v>33</v>
      </c>
      <c r="E10" s="1" t="s">
        <v>31</v>
      </c>
      <c r="F10" s="1" t="s">
        <v>32</v>
      </c>
      <c r="G10" s="1"/>
      <c r="H10" s="1" t="s">
        <v>24</v>
      </c>
      <c r="I10" s="1" t="s">
        <v>30</v>
      </c>
      <c r="J10" s="1" t="s">
        <v>33</v>
      </c>
      <c r="K10" s="1" t="s">
        <v>31</v>
      </c>
      <c r="L10" s="1" t="s">
        <v>32</v>
      </c>
      <c r="M10" s="1"/>
      <c r="N10" s="1" t="s">
        <v>34</v>
      </c>
      <c r="O10" s="1"/>
      <c r="P10" s="1" t="s">
        <v>34</v>
      </c>
      <c r="Q10" s="23" t="s">
        <v>47</v>
      </c>
      <c r="S10" s="1" t="s">
        <v>34</v>
      </c>
    </row>
    <row r="11" spans="2:19" ht="12.75">
      <c r="B11">
        <v>0</v>
      </c>
      <c r="C11" s="11">
        <f>Calculator!N14</f>
        <v>250</v>
      </c>
      <c r="D11" s="11"/>
      <c r="E11" s="11"/>
      <c r="F11" s="11">
        <f>SUM(C11:E11)</f>
        <v>250</v>
      </c>
      <c r="G11" s="11"/>
      <c r="H11">
        <v>0</v>
      </c>
      <c r="I11" s="11">
        <f>Calculator!C26+Calculator!N14</f>
        <v>2580</v>
      </c>
      <c r="J11" s="11"/>
      <c r="K11" s="11"/>
      <c r="L11" s="11">
        <f>SUM(I11:K11)</f>
        <v>2580</v>
      </c>
      <c r="M11" s="11"/>
      <c r="N11" s="17">
        <f>F11-L11</f>
        <v>-2330</v>
      </c>
      <c r="O11" s="17"/>
      <c r="P11" s="17">
        <f aca="true" t="shared" si="0" ref="P11:P41">SUM(C11:E11)-SUM(I11:K11)</f>
        <v>-2330</v>
      </c>
      <c r="Q11" s="22">
        <v>39083</v>
      </c>
      <c r="S11" s="17">
        <f>P11/((1+$D$5)^H11)</f>
        <v>-2330</v>
      </c>
    </row>
    <row r="12" spans="2:19" ht="12.75">
      <c r="B12">
        <v>1</v>
      </c>
      <c r="C12" s="11"/>
      <c r="D12" s="11"/>
      <c r="E12" s="11">
        <f>IF(Calculator!C10=Calculator!I10,Calculator!$C$20*Calculator!$N$17,Calculator!C20*Calculator!N18)</f>
        <v>348.9948955311063</v>
      </c>
      <c r="F12" s="11">
        <f>F11+SUM(C12:E12)</f>
        <v>598.9948955311063</v>
      </c>
      <c r="H12">
        <v>1</v>
      </c>
      <c r="I12" s="11"/>
      <c r="J12" s="11"/>
      <c r="K12" s="11">
        <f>IF(Calculator!C10=Calculator!I10,Calculator!$C$21*Calculator!$N$17,Calculator!$C$21*Calculator!$N$18)</f>
        <v>86.96507518029058</v>
      </c>
      <c r="L12" s="11">
        <f>L11+SUM(I12:K12)</f>
        <v>2666.9650751802906</v>
      </c>
      <c r="M12" s="11"/>
      <c r="N12" s="17">
        <f aca="true" t="shared" si="1" ref="N12:N41">F12-L12</f>
        <v>-2067.9701796491845</v>
      </c>
      <c r="O12" s="17"/>
      <c r="P12" s="17">
        <f t="shared" si="0"/>
        <v>262.0298203508157</v>
      </c>
      <c r="Q12" s="22">
        <v>39448</v>
      </c>
      <c r="S12" s="17">
        <f aca="true" t="shared" si="2" ref="S12:S41">P12/((1+$D$5)^H12)</f>
        <v>250.7462395701586</v>
      </c>
    </row>
    <row r="13" spans="2:19" ht="12.75">
      <c r="B13">
        <v>2</v>
      </c>
      <c r="C13" s="11"/>
      <c r="D13" s="11"/>
      <c r="E13" s="11">
        <f aca="true" t="shared" si="3" ref="E13:E41">E12*(1+$D$3+$D$4)</f>
        <v>359.4647423970395</v>
      </c>
      <c r="F13" s="11">
        <f aca="true" t="shared" si="4" ref="F13:F41">F12+SUM(C13:E13)</f>
        <v>958.4596379281459</v>
      </c>
      <c r="H13">
        <v>2</v>
      </c>
      <c r="I13" s="11"/>
      <c r="J13" s="11"/>
      <c r="K13" s="11">
        <f aca="true" t="shared" si="5" ref="K13:K41">K12*(1+$D$3+$D$4)</f>
        <v>89.5740274356993</v>
      </c>
      <c r="L13" s="11">
        <f aca="true" t="shared" si="6" ref="L13:L41">L12+SUM(I13:K13)</f>
        <v>2756.53910261599</v>
      </c>
      <c r="M13" s="11"/>
      <c r="N13" s="17">
        <f t="shared" si="1"/>
        <v>-1798.0794646878442</v>
      </c>
      <c r="O13" s="17"/>
      <c r="P13" s="17">
        <f t="shared" si="0"/>
        <v>269.8907149613402</v>
      </c>
      <c r="Q13" s="22">
        <v>39814</v>
      </c>
      <c r="S13" s="17">
        <f t="shared" si="2"/>
        <v>247.14701125096977</v>
      </c>
    </row>
    <row r="14" spans="2:19" ht="12.75">
      <c r="B14">
        <v>3</v>
      </c>
      <c r="C14" s="11"/>
      <c r="D14" s="11"/>
      <c r="E14" s="11">
        <f t="shared" si="3"/>
        <v>370.2486846689507</v>
      </c>
      <c r="F14" s="11">
        <f t="shared" si="4"/>
        <v>1328.7083225970966</v>
      </c>
      <c r="H14">
        <v>3</v>
      </c>
      <c r="I14" s="11"/>
      <c r="J14" s="11"/>
      <c r="K14" s="11">
        <f t="shared" si="5"/>
        <v>92.2612482587703</v>
      </c>
      <c r="L14" s="11">
        <f t="shared" si="6"/>
        <v>2848.80035087476</v>
      </c>
      <c r="M14" s="11"/>
      <c r="N14" s="17">
        <f t="shared" si="1"/>
        <v>-1520.0920282776635</v>
      </c>
      <c r="O14" s="17"/>
      <c r="P14" s="17">
        <f t="shared" si="0"/>
        <v>277.9874364101804</v>
      </c>
      <c r="Q14" s="22">
        <v>40179</v>
      </c>
      <c r="S14" s="17">
        <f t="shared" si="2"/>
        <v>243.59944649617114</v>
      </c>
    </row>
    <row r="15" spans="2:19" ht="12.75">
      <c r="B15">
        <v>4</v>
      </c>
      <c r="C15" s="11"/>
      <c r="D15" s="11"/>
      <c r="E15" s="11">
        <f t="shared" si="3"/>
        <v>381.35614520901925</v>
      </c>
      <c r="F15" s="11">
        <f t="shared" si="4"/>
        <v>1710.0644678061158</v>
      </c>
      <c r="H15">
        <v>4</v>
      </c>
      <c r="I15" s="11"/>
      <c r="J15" s="11"/>
      <c r="K15" s="11">
        <f t="shared" si="5"/>
        <v>95.02908570653341</v>
      </c>
      <c r="L15" s="11">
        <f t="shared" si="6"/>
        <v>2943.8294365812935</v>
      </c>
      <c r="M15" s="11"/>
      <c r="N15" s="17">
        <f t="shared" si="1"/>
        <v>-1233.7649687751777</v>
      </c>
      <c r="O15" s="17"/>
      <c r="P15" s="17">
        <f t="shared" si="0"/>
        <v>286.32705950248584</v>
      </c>
      <c r="Q15" s="22">
        <v>40544</v>
      </c>
      <c r="S15" s="17">
        <f t="shared" si="2"/>
        <v>240.1028037234989</v>
      </c>
    </row>
    <row r="16" spans="2:19" ht="12.75">
      <c r="B16" s="12">
        <v>5</v>
      </c>
      <c r="C16" s="13"/>
      <c r="D16" s="13"/>
      <c r="E16" s="13">
        <f t="shared" si="3"/>
        <v>392.79682956528984</v>
      </c>
      <c r="F16" s="16">
        <f t="shared" si="4"/>
        <v>2102.8612973714057</v>
      </c>
      <c r="G16" s="12"/>
      <c r="H16" s="12">
        <v>5</v>
      </c>
      <c r="I16" s="13"/>
      <c r="J16" s="13"/>
      <c r="K16" s="13">
        <f t="shared" si="5"/>
        <v>97.87995827772941</v>
      </c>
      <c r="L16" s="16">
        <f t="shared" si="6"/>
        <v>3041.7093948590227</v>
      </c>
      <c r="M16" s="13"/>
      <c r="N16" s="21">
        <f t="shared" si="1"/>
        <v>-938.848097487617</v>
      </c>
      <c r="O16" s="24"/>
      <c r="P16" s="17">
        <f t="shared" si="0"/>
        <v>294.9168712875604</v>
      </c>
      <c r="Q16" s="22">
        <v>40909</v>
      </c>
      <c r="S16" s="17">
        <f t="shared" si="2"/>
        <v>236.6563519954104</v>
      </c>
    </row>
    <row r="17" spans="2:19" ht="12.75">
      <c r="B17">
        <v>6</v>
      </c>
      <c r="C17" s="11"/>
      <c r="D17" s="11"/>
      <c r="E17" s="11">
        <f t="shared" si="3"/>
        <v>404.5807344522485</v>
      </c>
      <c r="F17" s="11">
        <f t="shared" si="4"/>
        <v>2507.4420318236544</v>
      </c>
      <c r="H17">
        <v>6</v>
      </c>
      <c r="I17" s="11"/>
      <c r="J17" s="11"/>
      <c r="K17" s="11">
        <f t="shared" si="5"/>
        <v>100.8163570260613</v>
      </c>
      <c r="L17" s="11">
        <f t="shared" si="6"/>
        <v>3142.525751885084</v>
      </c>
      <c r="M17" s="11"/>
      <c r="N17" s="17">
        <f t="shared" si="1"/>
        <v>-635.0837200614296</v>
      </c>
      <c r="O17" s="24"/>
      <c r="P17" s="17">
        <f t="shared" si="0"/>
        <v>303.76437742618725</v>
      </c>
      <c r="Q17" s="22">
        <v>41275</v>
      </c>
      <c r="S17" s="17">
        <f t="shared" si="2"/>
        <v>233.25937086628977</v>
      </c>
    </row>
    <row r="18" spans="2:19" ht="12.75">
      <c r="B18">
        <v>7</v>
      </c>
      <c r="C18" s="11"/>
      <c r="D18" s="11"/>
      <c r="E18" s="11">
        <f t="shared" si="3"/>
        <v>416.718156485816</v>
      </c>
      <c r="F18" s="11">
        <f t="shared" si="4"/>
        <v>2924.1601883094704</v>
      </c>
      <c r="H18">
        <v>7</v>
      </c>
      <c r="I18" s="11"/>
      <c r="J18" s="11"/>
      <c r="K18" s="11">
        <f t="shared" si="5"/>
        <v>103.84084773684314</v>
      </c>
      <c r="L18" s="11">
        <f t="shared" si="6"/>
        <v>3246.366599621927</v>
      </c>
      <c r="M18" s="11"/>
      <c r="N18" s="17">
        <f t="shared" si="1"/>
        <v>-322.20641131245657</v>
      </c>
      <c r="O18" s="24"/>
      <c r="P18" s="17">
        <f t="shared" si="0"/>
        <v>312.87730874897284</v>
      </c>
      <c r="Q18" s="22">
        <v>41640</v>
      </c>
      <c r="S18" s="17">
        <f t="shared" si="2"/>
        <v>229.91115023184537</v>
      </c>
    </row>
    <row r="19" spans="2:19" ht="12.75">
      <c r="B19">
        <v>8</v>
      </c>
      <c r="C19" s="11"/>
      <c r="D19" s="11"/>
      <c r="E19" s="11">
        <f t="shared" si="3"/>
        <v>429.2197011803905</v>
      </c>
      <c r="F19" s="11">
        <f t="shared" si="4"/>
        <v>3353.379889489861</v>
      </c>
      <c r="H19">
        <v>8</v>
      </c>
      <c r="I19" s="11"/>
      <c r="J19" s="11"/>
      <c r="K19" s="11">
        <f t="shared" si="5"/>
        <v>106.95607316894844</v>
      </c>
      <c r="L19" s="11">
        <f t="shared" si="6"/>
        <v>3353.3226727908755</v>
      </c>
      <c r="M19" s="11"/>
      <c r="N19" s="17">
        <f t="shared" si="1"/>
        <v>0.05721669898548498</v>
      </c>
      <c r="O19" s="24"/>
      <c r="P19" s="17">
        <f t="shared" si="0"/>
        <v>322.26362801144205</v>
      </c>
      <c r="Q19" s="22">
        <v>42005</v>
      </c>
      <c r="S19" s="17">
        <f t="shared" si="2"/>
        <v>226.61099018067065</v>
      </c>
    </row>
    <row r="20" spans="2:19" ht="12.75">
      <c r="B20">
        <v>9</v>
      </c>
      <c r="C20" s="11"/>
      <c r="D20" s="11"/>
      <c r="E20" s="11">
        <f t="shared" si="3"/>
        <v>442.0962922158022</v>
      </c>
      <c r="F20" s="11">
        <f t="shared" si="4"/>
        <v>3795.4761817056633</v>
      </c>
      <c r="H20">
        <v>9</v>
      </c>
      <c r="I20" s="11"/>
      <c r="J20" s="11"/>
      <c r="K20" s="11">
        <f t="shared" si="5"/>
        <v>110.1647553640169</v>
      </c>
      <c r="L20" s="11">
        <f t="shared" si="6"/>
        <v>3463.4874281548923</v>
      </c>
      <c r="M20" s="11"/>
      <c r="N20" s="17">
        <f t="shared" si="1"/>
        <v>331.988753550771</v>
      </c>
      <c r="O20" s="24"/>
      <c r="P20" s="17">
        <f t="shared" si="0"/>
        <v>331.93153685178527</v>
      </c>
      <c r="Q20" s="22">
        <v>42370</v>
      </c>
      <c r="S20" s="17">
        <f t="shared" si="2"/>
        <v>223.35820084793374</v>
      </c>
    </row>
    <row r="21" spans="2:19" ht="12.75">
      <c r="B21">
        <v>10</v>
      </c>
      <c r="C21" s="11"/>
      <c r="D21" s="11">
        <f>$D$6*(1+$D$3)^B21</f>
        <v>403.1749138032365</v>
      </c>
      <c r="E21" s="11">
        <f t="shared" si="3"/>
        <v>455.35918098227626</v>
      </c>
      <c r="F21" s="16">
        <f t="shared" si="4"/>
        <v>4654.010276491176</v>
      </c>
      <c r="H21">
        <v>10</v>
      </c>
      <c r="I21" s="11"/>
      <c r="J21" s="11">
        <f>$J$6*(1+$D$3)^H21</f>
        <v>571.1644612212517</v>
      </c>
      <c r="K21" s="11">
        <f t="shared" si="5"/>
        <v>113.4696980249374</v>
      </c>
      <c r="L21" s="16">
        <f t="shared" si="6"/>
        <v>4148.121587401081</v>
      </c>
      <c r="M21" s="11"/>
      <c r="N21" s="21">
        <f t="shared" si="1"/>
        <v>505.8886890900949</v>
      </c>
      <c r="O21" s="24"/>
      <c r="P21" s="17">
        <f t="shared" si="0"/>
        <v>173.89993553932356</v>
      </c>
      <c r="Q21" s="22">
        <v>42736</v>
      </c>
      <c r="S21" s="17">
        <f t="shared" si="2"/>
        <v>111.97898239701057</v>
      </c>
    </row>
    <row r="22" spans="2:19" ht="12.75">
      <c r="B22">
        <v>11</v>
      </c>
      <c r="C22" s="11"/>
      <c r="D22" s="11"/>
      <c r="E22" s="11">
        <f t="shared" si="3"/>
        <v>469.01995641174454</v>
      </c>
      <c r="F22" s="11">
        <f t="shared" si="4"/>
        <v>5123.030232902921</v>
      </c>
      <c r="H22">
        <v>11</v>
      </c>
      <c r="I22" s="11"/>
      <c r="J22" s="11"/>
      <c r="K22" s="11">
        <f t="shared" si="5"/>
        <v>116.87378896568552</v>
      </c>
      <c r="L22" s="11">
        <f t="shared" si="6"/>
        <v>4264.995376366767</v>
      </c>
      <c r="M22" s="11"/>
      <c r="N22" s="17">
        <f t="shared" si="1"/>
        <v>858.0348565361537</v>
      </c>
      <c r="O22" s="24"/>
      <c r="P22" s="17">
        <f t="shared" si="0"/>
        <v>352.14616744605905</v>
      </c>
      <c r="Q22" s="22">
        <v>43101</v>
      </c>
      <c r="S22" s="17">
        <f t="shared" si="2"/>
        <v>216.99202424813808</v>
      </c>
    </row>
    <row r="23" spans="2:19" ht="12.75">
      <c r="B23">
        <v>12</v>
      </c>
      <c r="C23" s="11"/>
      <c r="D23" s="11"/>
      <c r="E23" s="11">
        <f t="shared" si="3"/>
        <v>483.0905551040969</v>
      </c>
      <c r="F23" s="11">
        <f t="shared" si="4"/>
        <v>5606.120788007018</v>
      </c>
      <c r="H23">
        <v>12</v>
      </c>
      <c r="I23" s="11"/>
      <c r="J23" s="11"/>
      <c r="K23" s="11">
        <f t="shared" si="5"/>
        <v>120.3800026346561</v>
      </c>
      <c r="L23" s="11">
        <f t="shared" si="6"/>
        <v>4385.375379001423</v>
      </c>
      <c r="M23" s="11"/>
      <c r="N23" s="17">
        <f t="shared" si="1"/>
        <v>1220.7454090055944</v>
      </c>
      <c r="O23" s="24"/>
      <c r="P23" s="17">
        <f t="shared" si="0"/>
        <v>362.7105524694408</v>
      </c>
      <c r="Q23" s="22">
        <v>43466</v>
      </c>
      <c r="S23" s="17">
        <f t="shared" si="2"/>
        <v>213.87730619672945</v>
      </c>
    </row>
    <row r="24" spans="2:19" ht="12.75">
      <c r="B24">
        <v>13</v>
      </c>
      <c r="C24" s="11"/>
      <c r="D24" s="11"/>
      <c r="E24" s="11">
        <f t="shared" si="3"/>
        <v>497.5832717572198</v>
      </c>
      <c r="F24" s="11">
        <f t="shared" si="4"/>
        <v>6103.704059764237</v>
      </c>
      <c r="H24">
        <v>13</v>
      </c>
      <c r="I24" s="11"/>
      <c r="J24" s="11"/>
      <c r="K24" s="11">
        <f t="shared" si="5"/>
        <v>123.99140271369578</v>
      </c>
      <c r="L24" s="11">
        <f t="shared" si="6"/>
        <v>4509.366781715119</v>
      </c>
      <c r="M24" s="11"/>
      <c r="N24" s="17">
        <f t="shared" si="1"/>
        <v>1594.3372780491181</v>
      </c>
      <c r="O24" s="24"/>
      <c r="P24" s="17">
        <f t="shared" si="0"/>
        <v>373.591869043524</v>
      </c>
      <c r="Q24" s="22">
        <v>43831</v>
      </c>
      <c r="S24" s="17">
        <f t="shared" si="2"/>
        <v>210.80729701687204</v>
      </c>
    </row>
    <row r="25" spans="2:19" ht="12.75">
      <c r="B25">
        <v>14</v>
      </c>
      <c r="C25" s="11"/>
      <c r="D25" s="11"/>
      <c r="E25" s="11">
        <f t="shared" si="3"/>
        <v>512.5107699099364</v>
      </c>
      <c r="F25" s="11">
        <f t="shared" si="4"/>
        <v>6616.214829674173</v>
      </c>
      <c r="H25">
        <v>14</v>
      </c>
      <c r="I25" s="11"/>
      <c r="J25" s="11"/>
      <c r="K25" s="11">
        <f t="shared" si="5"/>
        <v>127.71114479510665</v>
      </c>
      <c r="L25" s="11">
        <f t="shared" si="6"/>
        <v>4637.077926510226</v>
      </c>
      <c r="M25" s="11"/>
      <c r="N25" s="17">
        <f t="shared" si="1"/>
        <v>1979.1369031639479</v>
      </c>
      <c r="O25" s="24"/>
      <c r="P25" s="17">
        <f t="shared" si="0"/>
        <v>384.7996251148297</v>
      </c>
      <c r="Q25" s="22">
        <v>44197</v>
      </c>
      <c r="S25" s="17">
        <f t="shared" si="2"/>
        <v>207.78135495442896</v>
      </c>
    </row>
    <row r="26" spans="2:19" ht="12.75">
      <c r="B26">
        <v>15</v>
      </c>
      <c r="C26" s="11"/>
      <c r="D26" s="11"/>
      <c r="E26" s="11">
        <f t="shared" si="3"/>
        <v>527.8860930072344</v>
      </c>
      <c r="F26" s="16">
        <f t="shared" si="4"/>
        <v>7144.100922681408</v>
      </c>
      <c r="H26">
        <v>15</v>
      </c>
      <c r="I26" s="11"/>
      <c r="J26" s="11"/>
      <c r="K26" s="11">
        <f t="shared" si="5"/>
        <v>131.54247913895986</v>
      </c>
      <c r="L26" s="16">
        <f t="shared" si="6"/>
        <v>4768.620405649185</v>
      </c>
      <c r="M26" s="11"/>
      <c r="N26" s="21">
        <f t="shared" si="1"/>
        <v>2375.4805170322225</v>
      </c>
      <c r="O26" s="24"/>
      <c r="P26" s="17">
        <f t="shared" si="0"/>
        <v>396.3436138682746</v>
      </c>
      <c r="Q26" s="22">
        <v>44562</v>
      </c>
      <c r="S26" s="17">
        <f t="shared" si="2"/>
        <v>204.79884746704477</v>
      </c>
    </row>
    <row r="27" spans="2:19" ht="12.75">
      <c r="B27">
        <v>16</v>
      </c>
      <c r="C27" s="11"/>
      <c r="D27" s="11"/>
      <c r="E27" s="11">
        <f t="shared" si="3"/>
        <v>543.7226757974514</v>
      </c>
      <c r="F27" s="11">
        <f t="shared" si="4"/>
        <v>7687.823598478859</v>
      </c>
      <c r="H27">
        <v>16</v>
      </c>
      <c r="I27" s="11"/>
      <c r="J27" s="11"/>
      <c r="K27" s="11">
        <f t="shared" si="5"/>
        <v>135.48875351312867</v>
      </c>
      <c r="L27" s="11">
        <f t="shared" si="6"/>
        <v>4904.1091591623135</v>
      </c>
      <c r="M27" s="11"/>
      <c r="N27" s="17">
        <f t="shared" si="1"/>
        <v>2783.7144393165454</v>
      </c>
      <c r="O27" s="24"/>
      <c r="P27" s="17">
        <f t="shared" si="0"/>
        <v>408.2339222843227</v>
      </c>
      <c r="Q27" s="22">
        <v>44927</v>
      </c>
      <c r="S27" s="17">
        <f t="shared" si="2"/>
        <v>201.85915109191976</v>
      </c>
    </row>
    <row r="28" spans="2:19" ht="12.75">
      <c r="B28">
        <v>17</v>
      </c>
      <c r="C28" s="11"/>
      <c r="D28" s="11"/>
      <c r="E28" s="11">
        <f t="shared" si="3"/>
        <v>560.034356071375</v>
      </c>
      <c r="F28" s="11">
        <f t="shared" si="4"/>
        <v>8247.857954550234</v>
      </c>
      <c r="H28">
        <v>17</v>
      </c>
      <c r="I28" s="11"/>
      <c r="J28" s="11"/>
      <c r="K28" s="11">
        <f t="shared" si="5"/>
        <v>139.55341611852253</v>
      </c>
      <c r="L28" s="11">
        <f t="shared" si="6"/>
        <v>5043.662575280836</v>
      </c>
      <c r="M28" s="11"/>
      <c r="N28" s="17">
        <f t="shared" si="1"/>
        <v>3204.1953792693985</v>
      </c>
      <c r="O28" s="24"/>
      <c r="P28" s="17">
        <f t="shared" si="0"/>
        <v>420.48093995285245</v>
      </c>
      <c r="Q28" s="22">
        <v>45292</v>
      </c>
      <c r="S28" s="17">
        <f t="shared" si="2"/>
        <v>198.96165131548074</v>
      </c>
    </row>
    <row r="29" spans="2:19" ht="12.75">
      <c r="B29">
        <v>18</v>
      </c>
      <c r="C29" s="11"/>
      <c r="D29" s="11"/>
      <c r="E29" s="11">
        <f t="shared" si="3"/>
        <v>576.8353867535162</v>
      </c>
      <c r="F29" s="11">
        <f t="shared" si="4"/>
        <v>8824.693341303751</v>
      </c>
      <c r="H29">
        <v>18</v>
      </c>
      <c r="I29" s="11"/>
      <c r="J29" s="11"/>
      <c r="K29" s="11">
        <f t="shared" si="5"/>
        <v>143.7400186020782</v>
      </c>
      <c r="L29" s="11">
        <f t="shared" si="6"/>
        <v>5187.4025938829145</v>
      </c>
      <c r="M29" s="11"/>
      <c r="N29" s="17">
        <f t="shared" si="1"/>
        <v>3637.290747420837</v>
      </c>
      <c r="O29" s="24"/>
      <c r="P29" s="17">
        <f t="shared" si="0"/>
        <v>433.09536815143804</v>
      </c>
      <c r="Q29" s="22">
        <v>45658</v>
      </c>
      <c r="S29" s="17">
        <f t="shared" si="2"/>
        <v>196.10574244492364</v>
      </c>
    </row>
    <row r="30" spans="2:19" ht="12.75">
      <c r="B30">
        <v>19</v>
      </c>
      <c r="C30" s="11"/>
      <c r="D30" s="11"/>
      <c r="E30" s="11">
        <f t="shared" si="3"/>
        <v>594.1404483561217</v>
      </c>
      <c r="F30" s="11">
        <f t="shared" si="4"/>
        <v>9418.833789659873</v>
      </c>
      <c r="H30">
        <v>19</v>
      </c>
      <c r="I30" s="11"/>
      <c r="J30" s="11"/>
      <c r="K30" s="11">
        <f t="shared" si="5"/>
        <v>148.05221916014057</v>
      </c>
      <c r="L30" s="11">
        <f t="shared" si="6"/>
        <v>5335.454813043055</v>
      </c>
      <c r="M30" s="11"/>
      <c r="N30" s="17">
        <f t="shared" si="1"/>
        <v>4083.3789766168184</v>
      </c>
      <c r="O30" s="24"/>
      <c r="P30" s="17">
        <f t="shared" si="0"/>
        <v>446.08822919598117</v>
      </c>
      <c r="Q30" s="22">
        <v>46023</v>
      </c>
      <c r="S30" s="17">
        <f t="shared" si="2"/>
        <v>193.2908274815994</v>
      </c>
    </row>
    <row r="31" spans="2:19" ht="12.75">
      <c r="B31">
        <v>20</v>
      </c>
      <c r="C31" s="11"/>
      <c r="D31" s="11">
        <f>$D$6*(1+$D$3)^B31</f>
        <v>541.8333704008239</v>
      </c>
      <c r="E31" s="11">
        <f t="shared" si="3"/>
        <v>611.9646618068055</v>
      </c>
      <c r="F31" s="16">
        <f t="shared" si="4"/>
        <v>10572.631821867502</v>
      </c>
      <c r="H31">
        <v>20</v>
      </c>
      <c r="I31" s="11"/>
      <c r="J31" s="11">
        <f>$J$6*(1+$D$3)^H31</f>
        <v>767.5972747345006</v>
      </c>
      <c r="K31" s="11">
        <f t="shared" si="5"/>
        <v>152.4937857349448</v>
      </c>
      <c r="L31" s="16">
        <f t="shared" si="6"/>
        <v>6255.5458735125</v>
      </c>
      <c r="M31" s="11"/>
      <c r="N31" s="21">
        <f t="shared" si="1"/>
        <v>4317.085948355002</v>
      </c>
      <c r="O31" s="24"/>
      <c r="P31" s="17">
        <f t="shared" si="0"/>
        <v>233.70697173818394</v>
      </c>
      <c r="Q31" s="22">
        <v>46388</v>
      </c>
      <c r="S31" s="17">
        <f t="shared" si="2"/>
        <v>96.90492708974497</v>
      </c>
    </row>
    <row r="32" spans="2:19" ht="12.75">
      <c r="B32">
        <v>21</v>
      </c>
      <c r="C32" s="11"/>
      <c r="D32" s="11"/>
      <c r="E32" s="11">
        <f t="shared" si="3"/>
        <v>630.3236016610097</v>
      </c>
      <c r="F32" s="11">
        <f t="shared" si="4"/>
        <v>11202.955423528512</v>
      </c>
      <c r="H32">
        <v>21</v>
      </c>
      <c r="I32" s="11"/>
      <c r="J32" s="11"/>
      <c r="K32" s="11">
        <f t="shared" si="5"/>
        <v>157.06859930699315</v>
      </c>
      <c r="L32" s="11">
        <f t="shared" si="6"/>
        <v>6412.614472819493</v>
      </c>
      <c r="M32" s="11"/>
      <c r="N32" s="17">
        <f t="shared" si="1"/>
        <v>4790.340950709019</v>
      </c>
      <c r="O32" s="24"/>
      <c r="P32" s="17">
        <f t="shared" si="0"/>
        <v>473.2550023540165</v>
      </c>
      <c r="Q32" s="22">
        <v>46753</v>
      </c>
      <c r="S32" s="17">
        <f t="shared" si="2"/>
        <v>187.7816340058413</v>
      </c>
    </row>
    <row r="33" spans="2:19" ht="12.75">
      <c r="B33">
        <v>22</v>
      </c>
      <c r="C33" s="11"/>
      <c r="D33" s="11"/>
      <c r="E33" s="11">
        <f t="shared" si="3"/>
        <v>649.23330971084</v>
      </c>
      <c r="F33" s="11">
        <f t="shared" si="4"/>
        <v>11852.188733239353</v>
      </c>
      <c r="H33">
        <v>22</v>
      </c>
      <c r="I33" s="11"/>
      <c r="J33" s="11"/>
      <c r="K33" s="11">
        <f t="shared" si="5"/>
        <v>161.78065728620294</v>
      </c>
      <c r="L33" s="11">
        <f t="shared" si="6"/>
        <v>6574.395130105696</v>
      </c>
      <c r="M33" s="11"/>
      <c r="N33" s="17">
        <f t="shared" si="1"/>
        <v>5277.793603133657</v>
      </c>
      <c r="O33" s="24"/>
      <c r="P33" s="17">
        <f t="shared" si="0"/>
        <v>487.45265242463705</v>
      </c>
      <c r="Q33" s="22">
        <v>47119</v>
      </c>
      <c r="S33" s="17">
        <f t="shared" si="2"/>
        <v>185.08620385264751</v>
      </c>
    </row>
    <row r="34" spans="2:19" ht="12.75">
      <c r="B34">
        <v>23</v>
      </c>
      <c r="C34" s="11"/>
      <c r="D34" s="11"/>
      <c r="E34" s="11">
        <f t="shared" si="3"/>
        <v>668.7103090021652</v>
      </c>
      <c r="F34" s="11">
        <f t="shared" si="4"/>
        <v>12520.899042241517</v>
      </c>
      <c r="H34">
        <v>23</v>
      </c>
      <c r="I34" s="11"/>
      <c r="J34" s="11"/>
      <c r="K34" s="11">
        <f t="shared" si="5"/>
        <v>166.63407700478902</v>
      </c>
      <c r="L34" s="11">
        <f t="shared" si="6"/>
        <v>6741.029207110485</v>
      </c>
      <c r="M34" s="11"/>
      <c r="N34" s="17">
        <f t="shared" si="1"/>
        <v>5779.869835131032</v>
      </c>
      <c r="O34" s="24"/>
      <c r="P34" s="17">
        <f t="shared" si="0"/>
        <v>502.0762319973762</v>
      </c>
      <c r="Q34" s="22">
        <v>47484</v>
      </c>
      <c r="S34" s="17">
        <f t="shared" si="2"/>
        <v>182.4294640844277</v>
      </c>
    </row>
    <row r="35" spans="2:19" ht="12.75">
      <c r="B35">
        <v>24</v>
      </c>
      <c r="C35" s="11"/>
      <c r="D35" s="11"/>
      <c r="E35" s="11">
        <f t="shared" si="3"/>
        <v>688.7716182722302</v>
      </c>
      <c r="F35" s="11">
        <f t="shared" si="4"/>
        <v>13209.670660513748</v>
      </c>
      <c r="H35">
        <v>24</v>
      </c>
      <c r="I35" s="11"/>
      <c r="J35" s="11"/>
      <c r="K35" s="11">
        <f t="shared" si="5"/>
        <v>171.6330993149327</v>
      </c>
      <c r="L35" s="11">
        <f t="shared" si="6"/>
        <v>6912.662306425418</v>
      </c>
      <c r="M35" s="11"/>
      <c r="N35" s="17">
        <f t="shared" si="1"/>
        <v>6297.00835408833</v>
      </c>
      <c r="O35" s="24"/>
      <c r="P35" s="17">
        <f t="shared" si="0"/>
        <v>517.1385189572975</v>
      </c>
      <c r="Q35" s="22">
        <v>47849</v>
      </c>
      <c r="S35" s="17">
        <f t="shared" si="2"/>
        <v>179.81085933680436</v>
      </c>
    </row>
    <row r="36" spans="2:19" ht="12.75">
      <c r="B36">
        <v>25</v>
      </c>
      <c r="C36" s="11"/>
      <c r="D36" s="11"/>
      <c r="E36" s="11">
        <f t="shared" si="3"/>
        <v>709.434766820397</v>
      </c>
      <c r="F36" s="16">
        <f t="shared" si="4"/>
        <v>13919.105427334145</v>
      </c>
      <c r="H36">
        <v>25</v>
      </c>
      <c r="I36" s="11"/>
      <c r="J36" s="11"/>
      <c r="K36" s="11">
        <f t="shared" si="5"/>
        <v>176.7820922943807</v>
      </c>
      <c r="L36" s="16">
        <f t="shared" si="6"/>
        <v>7089.444398719799</v>
      </c>
      <c r="M36" s="11"/>
      <c r="N36" s="21">
        <f t="shared" si="1"/>
        <v>6829.661028614346</v>
      </c>
      <c r="O36" s="24"/>
      <c r="P36" s="17">
        <f t="shared" si="0"/>
        <v>532.6526745260163</v>
      </c>
      <c r="Q36" s="22">
        <v>48214</v>
      </c>
      <c r="S36" s="17">
        <f t="shared" si="2"/>
        <v>177.2298422171373</v>
      </c>
    </row>
    <row r="37" spans="2:19" ht="12.75">
      <c r="B37">
        <v>26</v>
      </c>
      <c r="C37" s="11"/>
      <c r="D37" s="11"/>
      <c r="E37" s="11">
        <f t="shared" si="3"/>
        <v>730.717809825009</v>
      </c>
      <c r="F37" s="11">
        <f t="shared" si="4"/>
        <v>14649.823237159155</v>
      </c>
      <c r="H37">
        <v>26</v>
      </c>
      <c r="I37" s="11"/>
      <c r="J37" s="11"/>
      <c r="K37" s="11">
        <f t="shared" si="5"/>
        <v>182.08555506321213</v>
      </c>
      <c r="L37" s="11">
        <f t="shared" si="6"/>
        <v>7271.5299537830115</v>
      </c>
      <c r="M37" s="11"/>
      <c r="N37" s="17">
        <f t="shared" si="1"/>
        <v>7378.293283376143</v>
      </c>
      <c r="O37" s="24"/>
      <c r="P37" s="17">
        <f t="shared" si="0"/>
        <v>548.6322547617968</v>
      </c>
      <c r="Q37" s="22">
        <v>48580</v>
      </c>
      <c r="S37" s="17">
        <f t="shared" si="2"/>
        <v>174.6858731900971</v>
      </c>
    </row>
    <row r="38" spans="2:19" ht="12.75">
      <c r="B38">
        <v>27</v>
      </c>
      <c r="C38" s="11"/>
      <c r="D38" s="11"/>
      <c r="E38" s="11">
        <f t="shared" si="3"/>
        <v>752.6393441197592</v>
      </c>
      <c r="F38" s="11">
        <f t="shared" si="4"/>
        <v>15402.462581278915</v>
      </c>
      <c r="H38">
        <v>27</v>
      </c>
      <c r="I38" s="11"/>
      <c r="J38" s="11"/>
      <c r="K38" s="11">
        <f t="shared" si="5"/>
        <v>187.5481217151085</v>
      </c>
      <c r="L38" s="11">
        <f t="shared" si="6"/>
        <v>7459.07807549812</v>
      </c>
      <c r="M38" s="11"/>
      <c r="N38" s="17">
        <f t="shared" si="1"/>
        <v>7943.384505780795</v>
      </c>
      <c r="O38" s="24"/>
      <c r="P38" s="17">
        <f t="shared" si="0"/>
        <v>565.0912224046508</v>
      </c>
      <c r="Q38" s="22">
        <v>48945</v>
      </c>
      <c r="S38" s="17">
        <f t="shared" si="2"/>
        <v>172.17842046488042</v>
      </c>
    </row>
    <row r="39" spans="2:19" ht="12.75">
      <c r="B39">
        <v>28</v>
      </c>
      <c r="C39" s="11"/>
      <c r="D39" s="11"/>
      <c r="E39" s="11">
        <f t="shared" si="3"/>
        <v>775.2185244433521</v>
      </c>
      <c r="F39" s="11">
        <f t="shared" si="4"/>
        <v>16177.681105722266</v>
      </c>
      <c r="H39">
        <v>28</v>
      </c>
      <c r="I39" s="11"/>
      <c r="J39" s="11"/>
      <c r="K39" s="11">
        <f t="shared" si="5"/>
        <v>193.17456536656175</v>
      </c>
      <c r="L39" s="11">
        <f t="shared" si="6"/>
        <v>7652.252640864682</v>
      </c>
      <c r="M39" s="11"/>
      <c r="N39" s="17">
        <f t="shared" si="1"/>
        <v>8525.428464857585</v>
      </c>
      <c r="O39" s="24"/>
      <c r="P39" s="17">
        <f t="shared" si="0"/>
        <v>582.0439590767903</v>
      </c>
      <c r="Q39" s="22">
        <v>49310</v>
      </c>
      <c r="S39" s="17">
        <f t="shared" si="2"/>
        <v>169.70695988404484</v>
      </c>
    </row>
    <row r="40" spans="2:19" ht="12.75">
      <c r="B40">
        <v>29</v>
      </c>
      <c r="C40" s="11"/>
      <c r="D40" s="11"/>
      <c r="E40" s="11">
        <f t="shared" si="3"/>
        <v>798.4750801766527</v>
      </c>
      <c r="F40" s="11">
        <f t="shared" si="4"/>
        <v>16976.15618589892</v>
      </c>
      <c r="H40">
        <v>29</v>
      </c>
      <c r="I40" s="11"/>
      <c r="J40" s="11"/>
      <c r="K40" s="11">
        <f t="shared" si="5"/>
        <v>198.9698023275586</v>
      </c>
      <c r="L40" s="11">
        <f t="shared" si="6"/>
        <v>7851.2224431922405</v>
      </c>
      <c r="M40" s="11"/>
      <c r="N40" s="17">
        <f t="shared" si="1"/>
        <v>9124.933742706678</v>
      </c>
      <c r="O40" s="24"/>
      <c r="P40" s="17">
        <f t="shared" si="0"/>
        <v>599.5052778490941</v>
      </c>
      <c r="Q40" s="22">
        <v>49675</v>
      </c>
      <c r="S40" s="17">
        <f t="shared" si="2"/>
        <v>167.27097481393892</v>
      </c>
    </row>
    <row r="41" spans="2:19" ht="12.75">
      <c r="B41">
        <v>30</v>
      </c>
      <c r="C41" s="11"/>
      <c r="D41" s="11">
        <f>$D$6*(1+$D$3)^B41</f>
        <v>728.1787413568977</v>
      </c>
      <c r="E41" s="11">
        <f t="shared" si="3"/>
        <v>822.4293325819523</v>
      </c>
      <c r="F41" s="16">
        <f t="shared" si="4"/>
        <v>18526.764259837768</v>
      </c>
      <c r="H41">
        <v>30</v>
      </c>
      <c r="I41" s="11"/>
      <c r="J41" s="11">
        <f>$J$6*(1+$D$3)^H41</f>
        <v>1031.586550255605</v>
      </c>
      <c r="K41" s="11">
        <f t="shared" si="5"/>
        <v>204.93889639738535</v>
      </c>
      <c r="L41" s="16">
        <f t="shared" si="6"/>
        <v>9087.747889845232</v>
      </c>
      <c r="M41" s="11"/>
      <c r="N41" s="21">
        <f t="shared" si="1"/>
        <v>9439.016369992536</v>
      </c>
      <c r="O41" s="24"/>
      <c r="P41" s="17">
        <f t="shared" si="0"/>
        <v>314.0826272858594</v>
      </c>
      <c r="Q41" s="22">
        <v>50041</v>
      </c>
      <c r="S41" s="17">
        <f t="shared" si="2"/>
        <v>83.8600663558047</v>
      </c>
    </row>
    <row r="42" spans="2:19" ht="12.75">
      <c r="B42" s="14"/>
      <c r="C42" s="15"/>
      <c r="D42" s="15"/>
      <c r="E42" s="15"/>
      <c r="F42" s="15"/>
      <c r="G42" s="15"/>
      <c r="H42" s="14"/>
      <c r="I42" s="15"/>
      <c r="J42" s="15"/>
      <c r="K42" s="15"/>
      <c r="L42" s="15"/>
      <c r="M42" s="15"/>
      <c r="P42" s="17">
        <f>SUM(P12:P41)</f>
        <v>11769.016369992536</v>
      </c>
      <c r="S42" s="17">
        <f>SUM(S11:S41)</f>
        <v>3534.789975072465</v>
      </c>
    </row>
    <row r="43" ht="12.75">
      <c r="S43" s="17">
        <f>SUM(S12:S41)</f>
        <v>5864.789975072463</v>
      </c>
    </row>
    <row r="44" ht="12.75">
      <c r="S44" s="37"/>
    </row>
  </sheetData>
  <sheetProtection password="DC79" sheet="1" objects="1" scenario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S44"/>
  <sheetViews>
    <sheetView workbookViewId="0" topLeftCell="A1">
      <selection activeCell="A1" sqref="A1"/>
    </sheetView>
  </sheetViews>
  <sheetFormatPr defaultColWidth="9.140625" defaultRowHeight="12.75"/>
  <cols>
    <col min="1" max="1" width="3.7109375" style="0" customWidth="1"/>
    <col min="2" max="2" width="6.7109375" style="0" customWidth="1"/>
    <col min="5" max="5" width="10.140625" style="0" customWidth="1"/>
    <col min="6" max="6" width="10.7109375" style="0" customWidth="1"/>
    <col min="7" max="7" width="3.00390625" style="0" customWidth="1"/>
    <col min="8" max="8" width="6.7109375" style="0" customWidth="1"/>
    <col min="12" max="12" width="10.8515625" style="0" customWidth="1"/>
    <col min="13" max="13" width="2.8515625" style="0" customWidth="1"/>
    <col min="14" max="14" width="10.8515625" style="0" customWidth="1"/>
    <col min="15" max="15" width="3.00390625" style="0" customWidth="1"/>
    <col min="16" max="16" width="9.7109375" style="0" bestFit="1" customWidth="1"/>
    <col min="17" max="17" width="9.140625" style="22" customWidth="1"/>
    <col min="18" max="18" width="3.7109375" style="0" customWidth="1"/>
    <col min="19" max="19" width="0" style="0" hidden="1" customWidth="1"/>
  </cols>
  <sheetData>
    <row r="1" spans="1:17" ht="12.75">
      <c r="A1" s="19" t="s">
        <v>52</v>
      </c>
      <c r="B1" s="20"/>
      <c r="C1" s="19"/>
      <c r="D1" s="19"/>
      <c r="E1" s="19"/>
      <c r="F1" s="19"/>
      <c r="G1" s="19"/>
      <c r="H1" s="19"/>
      <c r="I1" s="19"/>
      <c r="J1" s="19"/>
      <c r="K1" s="19"/>
      <c r="L1" s="19"/>
      <c r="M1" s="19"/>
      <c r="N1" s="19"/>
      <c r="O1" s="19"/>
      <c r="P1" s="19"/>
      <c r="Q1" s="28"/>
    </row>
    <row r="2" spans="1:17" ht="12.75">
      <c r="A2" s="19"/>
      <c r="B2" s="20"/>
      <c r="C2" s="19"/>
      <c r="D2" s="19"/>
      <c r="E2" s="19"/>
      <c r="F2" s="19"/>
      <c r="G2" s="19"/>
      <c r="H2" s="19"/>
      <c r="I2" s="19"/>
      <c r="J2" s="19"/>
      <c r="K2" s="19"/>
      <c r="L2" s="19"/>
      <c r="M2" s="19"/>
      <c r="N2" s="19"/>
      <c r="O2" s="19"/>
      <c r="P2" s="19"/>
      <c r="Q2" s="28"/>
    </row>
    <row r="3" spans="1:10" ht="12.75">
      <c r="A3" t="s">
        <v>25</v>
      </c>
      <c r="D3" s="62">
        <f>'Page 2'!C12</f>
        <v>0.03</v>
      </c>
      <c r="H3" s="31" t="s">
        <v>115</v>
      </c>
      <c r="I3" s="47">
        <f>disc_rate_2/(1-(1+disc_rate_2)^-30)</f>
        <v>0.061391542908593236</v>
      </c>
      <c r="J3" s="10" t="s">
        <v>116</v>
      </c>
    </row>
    <row r="4" spans="1:9" ht="12.75">
      <c r="A4" t="s">
        <v>26</v>
      </c>
      <c r="D4" s="62">
        <f>'Page 2'!C15</f>
        <v>0</v>
      </c>
      <c r="H4" s="31" t="s">
        <v>117</v>
      </c>
      <c r="I4" s="48">
        <f>(I11-C11)*I3</f>
        <v>143.04229497702224</v>
      </c>
    </row>
    <row r="5" spans="1:10" ht="12.75">
      <c r="A5" t="s">
        <v>46</v>
      </c>
      <c r="D5" s="63">
        <f>'Page 2'!C11</f>
        <v>0.045</v>
      </c>
      <c r="H5" s="1" t="s">
        <v>118</v>
      </c>
      <c r="I5" s="49">
        <f>I4/'Calculator (2)'!C22</f>
        <v>0.061577613005289675</v>
      </c>
      <c r="J5" s="34"/>
    </row>
    <row r="6" spans="1:11" ht="12.75">
      <c r="A6" t="s">
        <v>29</v>
      </c>
      <c r="D6" s="36">
        <v>300</v>
      </c>
      <c r="E6" t="s">
        <v>70</v>
      </c>
      <c r="J6" s="36">
        <f>D6+125</f>
        <v>425</v>
      </c>
      <c r="K6" t="s">
        <v>71</v>
      </c>
    </row>
    <row r="7" spans="16:17" ht="12.75">
      <c r="P7" s="25" t="s">
        <v>54</v>
      </c>
      <c r="Q7" s="29">
        <f>XIRR(P11:P41,Q11:Q41,0.1)</f>
        <v>0.1325882494449616</v>
      </c>
    </row>
    <row r="8" spans="1:17" ht="12.75">
      <c r="A8" t="s">
        <v>55</v>
      </c>
      <c r="I8" s="31"/>
      <c r="J8" s="32"/>
      <c r="K8" s="31"/>
      <c r="L8" s="33"/>
      <c r="P8" s="25" t="s">
        <v>53</v>
      </c>
      <c r="Q8" s="30">
        <f>XNPV(D5,P11:P41,Q11:Q41)</f>
        <v>3532.1999151643704</v>
      </c>
    </row>
    <row r="9" spans="2:19" ht="12.75">
      <c r="B9" t="s">
        <v>27</v>
      </c>
      <c r="H9" t="s">
        <v>28</v>
      </c>
      <c r="N9" s="1" t="s">
        <v>51</v>
      </c>
      <c r="O9" s="1"/>
      <c r="P9" s="1" t="s">
        <v>56</v>
      </c>
      <c r="Q9" s="23" t="s">
        <v>57</v>
      </c>
      <c r="S9" s="1" t="s">
        <v>76</v>
      </c>
    </row>
    <row r="10" spans="2:19" ht="12.75">
      <c r="B10" s="1" t="s">
        <v>24</v>
      </c>
      <c r="C10" s="1" t="s">
        <v>30</v>
      </c>
      <c r="D10" s="1" t="s">
        <v>33</v>
      </c>
      <c r="E10" s="1" t="s">
        <v>31</v>
      </c>
      <c r="F10" s="1" t="s">
        <v>32</v>
      </c>
      <c r="G10" s="1"/>
      <c r="H10" s="1" t="s">
        <v>24</v>
      </c>
      <c r="I10" s="1" t="s">
        <v>30</v>
      </c>
      <c r="J10" s="1" t="s">
        <v>33</v>
      </c>
      <c r="K10" s="1" t="s">
        <v>31</v>
      </c>
      <c r="L10" s="1" t="s">
        <v>32</v>
      </c>
      <c r="M10" s="1"/>
      <c r="N10" s="1" t="s">
        <v>34</v>
      </c>
      <c r="O10" s="1"/>
      <c r="P10" s="1" t="s">
        <v>34</v>
      </c>
      <c r="Q10" s="23" t="s">
        <v>47</v>
      </c>
      <c r="S10" s="1" t="s">
        <v>34</v>
      </c>
    </row>
    <row r="11" spans="2:19" ht="12.75">
      <c r="B11">
        <v>0</v>
      </c>
      <c r="C11" s="11">
        <f>'Calculator (2)'!N14</f>
        <v>250</v>
      </c>
      <c r="D11" s="11"/>
      <c r="E11" s="11"/>
      <c r="F11" s="11">
        <f>SUM(C11:E11)</f>
        <v>250</v>
      </c>
      <c r="G11" s="11"/>
      <c r="H11">
        <v>0</v>
      </c>
      <c r="I11" s="11">
        <f>'Calculator (2)'!C26+'Calculator (2)'!N14</f>
        <v>2580</v>
      </c>
      <c r="J11" s="11"/>
      <c r="K11" s="11"/>
      <c r="L11" s="11">
        <f>SUM(I11:K11)</f>
        <v>2580</v>
      </c>
      <c r="M11" s="11"/>
      <c r="N11" s="17">
        <f aca="true" t="shared" si="0" ref="N11:N41">F11-L11</f>
        <v>-2330</v>
      </c>
      <c r="O11" s="17"/>
      <c r="P11" s="17">
        <f aca="true" t="shared" si="1" ref="P11:P41">SUM(C11:E11)-SUM(I11:K11)</f>
        <v>-2330</v>
      </c>
      <c r="Q11" s="22">
        <v>39083</v>
      </c>
      <c r="S11" s="17">
        <f aca="true" t="shared" si="2" ref="S11:S41">P11/((1+$D$5)^H11)</f>
        <v>-2330</v>
      </c>
    </row>
    <row r="12" spans="2:19" ht="12.75">
      <c r="B12">
        <v>1</v>
      </c>
      <c r="C12" s="11"/>
      <c r="D12" s="11"/>
      <c r="E12" s="11">
        <f>IF('Calculator (2)'!C10='Calculator (2)'!I10,'Calculator (2)'!C20*'Page 2'!C13,'Calculator (2)'!C20*'Page 2'!C14)</f>
        <v>348.9948955311063</v>
      </c>
      <c r="F12" s="11">
        <f aca="true" t="shared" si="3" ref="F12:F41">F11+SUM(C12:E12)</f>
        <v>598.9948955311063</v>
      </c>
      <c r="H12">
        <v>1</v>
      </c>
      <c r="I12" s="11"/>
      <c r="J12" s="11"/>
      <c r="K12" s="11">
        <f>IF('Calculator (2)'!C10='Calculator (2)'!I10,'Calculator (2)'!C21*'Calculator (2)'!N17,'Calculator (2)'!C21*'Calculator (2)'!N18)</f>
        <v>86.96507518029058</v>
      </c>
      <c r="L12" s="11">
        <f aca="true" t="shared" si="4" ref="L12:L41">L11+SUM(I12:K12)</f>
        <v>2666.9650751802906</v>
      </c>
      <c r="M12" s="11"/>
      <c r="N12" s="17">
        <f t="shared" si="0"/>
        <v>-2067.9701796491845</v>
      </c>
      <c r="O12" s="17"/>
      <c r="P12" s="17">
        <f t="shared" si="1"/>
        <v>262.0298203508157</v>
      </c>
      <c r="Q12" s="22">
        <v>39448</v>
      </c>
      <c r="S12" s="17">
        <f t="shared" si="2"/>
        <v>250.7462395701586</v>
      </c>
    </row>
    <row r="13" spans="2:19" ht="12.75">
      <c r="B13">
        <v>2</v>
      </c>
      <c r="C13" s="11"/>
      <c r="D13" s="11"/>
      <c r="E13" s="11">
        <f aca="true" t="shared" si="5" ref="E13:E41">E12*(1+$D$3+$D$4)</f>
        <v>359.4647423970395</v>
      </c>
      <c r="F13" s="11">
        <f t="shared" si="3"/>
        <v>958.4596379281459</v>
      </c>
      <c r="H13">
        <v>2</v>
      </c>
      <c r="I13" s="11"/>
      <c r="J13" s="11"/>
      <c r="K13" s="11">
        <f aca="true" t="shared" si="6" ref="K13:K41">K12*(1+$D$3+$D$4)</f>
        <v>89.5740274356993</v>
      </c>
      <c r="L13" s="11">
        <f t="shared" si="4"/>
        <v>2756.53910261599</v>
      </c>
      <c r="M13" s="11"/>
      <c r="N13" s="17">
        <f t="shared" si="0"/>
        <v>-1798.0794646878442</v>
      </c>
      <c r="O13" s="17"/>
      <c r="P13" s="17">
        <f t="shared" si="1"/>
        <v>269.8907149613402</v>
      </c>
      <c r="Q13" s="22">
        <v>39814</v>
      </c>
      <c r="S13" s="17">
        <f t="shared" si="2"/>
        <v>247.14701125096977</v>
      </c>
    </row>
    <row r="14" spans="2:19" ht="12.75">
      <c r="B14">
        <v>3</v>
      </c>
      <c r="C14" s="11"/>
      <c r="D14" s="11"/>
      <c r="E14" s="11">
        <f t="shared" si="5"/>
        <v>370.2486846689507</v>
      </c>
      <c r="F14" s="11">
        <f t="shared" si="3"/>
        <v>1328.7083225970966</v>
      </c>
      <c r="H14">
        <v>3</v>
      </c>
      <c r="I14" s="11"/>
      <c r="J14" s="11"/>
      <c r="K14" s="11">
        <f t="shared" si="6"/>
        <v>92.2612482587703</v>
      </c>
      <c r="L14" s="11">
        <f t="shared" si="4"/>
        <v>2848.80035087476</v>
      </c>
      <c r="M14" s="11"/>
      <c r="N14" s="17">
        <f t="shared" si="0"/>
        <v>-1520.0920282776635</v>
      </c>
      <c r="O14" s="17"/>
      <c r="P14" s="17">
        <f t="shared" si="1"/>
        <v>277.9874364101804</v>
      </c>
      <c r="Q14" s="22">
        <v>40179</v>
      </c>
      <c r="S14" s="17">
        <f t="shared" si="2"/>
        <v>243.59944649617114</v>
      </c>
    </row>
    <row r="15" spans="2:19" ht="12.75">
      <c r="B15">
        <v>4</v>
      </c>
      <c r="C15" s="11"/>
      <c r="D15" s="11"/>
      <c r="E15" s="11">
        <f t="shared" si="5"/>
        <v>381.35614520901925</v>
      </c>
      <c r="F15" s="11">
        <f t="shared" si="3"/>
        <v>1710.0644678061158</v>
      </c>
      <c r="H15">
        <v>4</v>
      </c>
      <c r="I15" s="11"/>
      <c r="J15" s="11"/>
      <c r="K15" s="11">
        <f t="shared" si="6"/>
        <v>95.02908570653341</v>
      </c>
      <c r="L15" s="11">
        <f t="shared" si="4"/>
        <v>2943.8294365812935</v>
      </c>
      <c r="M15" s="11"/>
      <c r="N15" s="17">
        <f t="shared" si="0"/>
        <v>-1233.7649687751777</v>
      </c>
      <c r="O15" s="17"/>
      <c r="P15" s="17">
        <f t="shared" si="1"/>
        <v>286.32705950248584</v>
      </c>
      <c r="Q15" s="22">
        <v>40544</v>
      </c>
      <c r="S15" s="17">
        <f t="shared" si="2"/>
        <v>240.1028037234989</v>
      </c>
    </row>
    <row r="16" spans="2:19" ht="12.75">
      <c r="B16" s="12">
        <v>5</v>
      </c>
      <c r="C16" s="13"/>
      <c r="D16" s="13"/>
      <c r="E16" s="13">
        <f t="shared" si="5"/>
        <v>392.79682956528984</v>
      </c>
      <c r="F16" s="16">
        <f t="shared" si="3"/>
        <v>2102.8612973714057</v>
      </c>
      <c r="G16" s="12"/>
      <c r="H16" s="12">
        <v>5</v>
      </c>
      <c r="I16" s="13"/>
      <c r="J16" s="13"/>
      <c r="K16" s="13">
        <f t="shared" si="6"/>
        <v>97.87995827772941</v>
      </c>
      <c r="L16" s="16">
        <f t="shared" si="4"/>
        <v>3041.7093948590227</v>
      </c>
      <c r="M16" s="13"/>
      <c r="N16" s="21">
        <f t="shared" si="0"/>
        <v>-938.848097487617</v>
      </c>
      <c r="O16" s="24"/>
      <c r="P16" s="17">
        <f t="shared" si="1"/>
        <v>294.9168712875604</v>
      </c>
      <c r="Q16" s="22">
        <v>40909</v>
      </c>
      <c r="S16" s="17">
        <f t="shared" si="2"/>
        <v>236.6563519954104</v>
      </c>
    </row>
    <row r="17" spans="2:19" ht="12.75">
      <c r="B17">
        <v>6</v>
      </c>
      <c r="C17" s="11"/>
      <c r="D17" s="11"/>
      <c r="E17" s="11">
        <f t="shared" si="5"/>
        <v>404.5807344522485</v>
      </c>
      <c r="F17" s="11">
        <f t="shared" si="3"/>
        <v>2507.4420318236544</v>
      </c>
      <c r="H17">
        <v>6</v>
      </c>
      <c r="I17" s="11"/>
      <c r="J17" s="11"/>
      <c r="K17" s="11">
        <f t="shared" si="6"/>
        <v>100.8163570260613</v>
      </c>
      <c r="L17" s="11">
        <f t="shared" si="4"/>
        <v>3142.525751885084</v>
      </c>
      <c r="M17" s="11"/>
      <c r="N17" s="17">
        <f t="shared" si="0"/>
        <v>-635.0837200614296</v>
      </c>
      <c r="O17" s="24"/>
      <c r="P17" s="17">
        <f t="shared" si="1"/>
        <v>303.76437742618725</v>
      </c>
      <c r="Q17" s="22">
        <v>41275</v>
      </c>
      <c r="S17" s="17">
        <f t="shared" si="2"/>
        <v>233.25937086628977</v>
      </c>
    </row>
    <row r="18" spans="2:19" ht="12.75">
      <c r="B18">
        <v>7</v>
      </c>
      <c r="C18" s="11"/>
      <c r="D18" s="11"/>
      <c r="E18" s="11">
        <f t="shared" si="5"/>
        <v>416.718156485816</v>
      </c>
      <c r="F18" s="11">
        <f t="shared" si="3"/>
        <v>2924.1601883094704</v>
      </c>
      <c r="H18">
        <v>7</v>
      </c>
      <c r="I18" s="11"/>
      <c r="J18" s="11"/>
      <c r="K18" s="11">
        <f t="shared" si="6"/>
        <v>103.84084773684314</v>
      </c>
      <c r="L18" s="11">
        <f t="shared" si="4"/>
        <v>3246.366599621927</v>
      </c>
      <c r="M18" s="11"/>
      <c r="N18" s="17">
        <f t="shared" si="0"/>
        <v>-322.20641131245657</v>
      </c>
      <c r="O18" s="24"/>
      <c r="P18" s="17">
        <f t="shared" si="1"/>
        <v>312.87730874897284</v>
      </c>
      <c r="Q18" s="22">
        <v>41640</v>
      </c>
      <c r="S18" s="17">
        <f t="shared" si="2"/>
        <v>229.91115023184537</v>
      </c>
    </row>
    <row r="19" spans="2:19" ht="12.75">
      <c r="B19">
        <v>8</v>
      </c>
      <c r="C19" s="11"/>
      <c r="D19" s="11"/>
      <c r="E19" s="11">
        <f t="shared" si="5"/>
        <v>429.2197011803905</v>
      </c>
      <c r="F19" s="11">
        <f t="shared" si="3"/>
        <v>3353.379889489861</v>
      </c>
      <c r="H19">
        <v>8</v>
      </c>
      <c r="I19" s="11"/>
      <c r="J19" s="11"/>
      <c r="K19" s="11">
        <f t="shared" si="6"/>
        <v>106.95607316894844</v>
      </c>
      <c r="L19" s="11">
        <f t="shared" si="4"/>
        <v>3353.3226727908755</v>
      </c>
      <c r="M19" s="11"/>
      <c r="N19" s="17">
        <f t="shared" si="0"/>
        <v>0.05721669898548498</v>
      </c>
      <c r="O19" s="24"/>
      <c r="P19" s="17">
        <f t="shared" si="1"/>
        <v>322.26362801144205</v>
      </c>
      <c r="Q19" s="22">
        <v>42005</v>
      </c>
      <c r="S19" s="17">
        <f t="shared" si="2"/>
        <v>226.61099018067065</v>
      </c>
    </row>
    <row r="20" spans="2:19" ht="12.75">
      <c r="B20">
        <v>9</v>
      </c>
      <c r="C20" s="11"/>
      <c r="D20" s="11"/>
      <c r="E20" s="11">
        <f t="shared" si="5"/>
        <v>442.0962922158022</v>
      </c>
      <c r="F20" s="11">
        <f t="shared" si="3"/>
        <v>3795.4761817056633</v>
      </c>
      <c r="H20">
        <v>9</v>
      </c>
      <c r="I20" s="11"/>
      <c r="J20" s="11"/>
      <c r="K20" s="11">
        <f t="shared" si="6"/>
        <v>110.1647553640169</v>
      </c>
      <c r="L20" s="11">
        <f t="shared" si="4"/>
        <v>3463.4874281548923</v>
      </c>
      <c r="M20" s="11"/>
      <c r="N20" s="17">
        <f t="shared" si="0"/>
        <v>331.988753550771</v>
      </c>
      <c r="O20" s="24"/>
      <c r="P20" s="17">
        <f t="shared" si="1"/>
        <v>331.93153685178527</v>
      </c>
      <c r="Q20" s="22">
        <v>42370</v>
      </c>
      <c r="S20" s="17">
        <f t="shared" si="2"/>
        <v>223.35820084793374</v>
      </c>
    </row>
    <row r="21" spans="2:19" ht="12.75">
      <c r="B21">
        <v>10</v>
      </c>
      <c r="C21" s="11"/>
      <c r="D21" s="11">
        <f>$D$6*(1+$D$3)^B21</f>
        <v>403.1749138032365</v>
      </c>
      <c r="E21" s="11">
        <f t="shared" si="5"/>
        <v>455.35918098227626</v>
      </c>
      <c r="F21" s="16">
        <f t="shared" si="3"/>
        <v>4654.010276491176</v>
      </c>
      <c r="H21">
        <v>10</v>
      </c>
      <c r="I21" s="11"/>
      <c r="J21" s="11">
        <f>$J$6*(1+$D$3)^H21</f>
        <v>571.1644612212517</v>
      </c>
      <c r="K21" s="11">
        <f t="shared" si="6"/>
        <v>113.4696980249374</v>
      </c>
      <c r="L21" s="16">
        <f t="shared" si="4"/>
        <v>4148.121587401081</v>
      </c>
      <c r="M21" s="11"/>
      <c r="N21" s="21">
        <f t="shared" si="0"/>
        <v>505.8886890900949</v>
      </c>
      <c r="O21" s="24"/>
      <c r="P21" s="17">
        <f t="shared" si="1"/>
        <v>173.89993553932356</v>
      </c>
      <c r="Q21" s="22">
        <v>42736</v>
      </c>
      <c r="S21" s="17">
        <f t="shared" si="2"/>
        <v>111.97898239701057</v>
      </c>
    </row>
    <row r="22" spans="2:19" ht="12.75">
      <c r="B22">
        <v>11</v>
      </c>
      <c r="C22" s="11"/>
      <c r="D22" s="11"/>
      <c r="E22" s="11">
        <f t="shared" si="5"/>
        <v>469.01995641174454</v>
      </c>
      <c r="F22" s="11">
        <f t="shared" si="3"/>
        <v>5123.030232902921</v>
      </c>
      <c r="H22">
        <v>11</v>
      </c>
      <c r="I22" s="11"/>
      <c r="J22" s="11"/>
      <c r="K22" s="11">
        <f t="shared" si="6"/>
        <v>116.87378896568552</v>
      </c>
      <c r="L22" s="11">
        <f t="shared" si="4"/>
        <v>4264.995376366767</v>
      </c>
      <c r="M22" s="11"/>
      <c r="N22" s="17">
        <f t="shared" si="0"/>
        <v>858.0348565361537</v>
      </c>
      <c r="O22" s="24"/>
      <c r="P22" s="17">
        <f t="shared" si="1"/>
        <v>352.14616744605905</v>
      </c>
      <c r="Q22" s="22">
        <v>43101</v>
      </c>
      <c r="S22" s="17">
        <f t="shared" si="2"/>
        <v>216.99202424813808</v>
      </c>
    </row>
    <row r="23" spans="2:19" ht="12.75">
      <c r="B23">
        <v>12</v>
      </c>
      <c r="C23" s="11"/>
      <c r="D23" s="11"/>
      <c r="E23" s="11">
        <f t="shared" si="5"/>
        <v>483.0905551040969</v>
      </c>
      <c r="F23" s="11">
        <f t="shared" si="3"/>
        <v>5606.120788007018</v>
      </c>
      <c r="H23">
        <v>12</v>
      </c>
      <c r="I23" s="11"/>
      <c r="J23" s="11"/>
      <c r="K23" s="11">
        <f t="shared" si="6"/>
        <v>120.3800026346561</v>
      </c>
      <c r="L23" s="11">
        <f t="shared" si="4"/>
        <v>4385.375379001423</v>
      </c>
      <c r="M23" s="11"/>
      <c r="N23" s="17">
        <f t="shared" si="0"/>
        <v>1220.7454090055944</v>
      </c>
      <c r="O23" s="24"/>
      <c r="P23" s="17">
        <f t="shared" si="1"/>
        <v>362.7105524694408</v>
      </c>
      <c r="Q23" s="22">
        <v>43466</v>
      </c>
      <c r="S23" s="17">
        <f t="shared" si="2"/>
        <v>213.87730619672945</v>
      </c>
    </row>
    <row r="24" spans="2:19" ht="12.75">
      <c r="B24">
        <v>13</v>
      </c>
      <c r="C24" s="11"/>
      <c r="D24" s="11"/>
      <c r="E24" s="11">
        <f t="shared" si="5"/>
        <v>497.5832717572198</v>
      </c>
      <c r="F24" s="11">
        <f t="shared" si="3"/>
        <v>6103.704059764237</v>
      </c>
      <c r="H24">
        <v>13</v>
      </c>
      <c r="I24" s="11"/>
      <c r="J24" s="11"/>
      <c r="K24" s="11">
        <f t="shared" si="6"/>
        <v>123.99140271369578</v>
      </c>
      <c r="L24" s="11">
        <f t="shared" si="4"/>
        <v>4509.366781715119</v>
      </c>
      <c r="M24" s="11"/>
      <c r="N24" s="17">
        <f t="shared" si="0"/>
        <v>1594.3372780491181</v>
      </c>
      <c r="O24" s="24"/>
      <c r="P24" s="17">
        <f t="shared" si="1"/>
        <v>373.591869043524</v>
      </c>
      <c r="Q24" s="22">
        <v>43831</v>
      </c>
      <c r="S24" s="17">
        <f t="shared" si="2"/>
        <v>210.80729701687204</v>
      </c>
    </row>
    <row r="25" spans="2:19" ht="12.75">
      <c r="B25">
        <v>14</v>
      </c>
      <c r="C25" s="11"/>
      <c r="D25" s="11"/>
      <c r="E25" s="11">
        <f t="shared" si="5"/>
        <v>512.5107699099364</v>
      </c>
      <c r="F25" s="11">
        <f t="shared" si="3"/>
        <v>6616.214829674173</v>
      </c>
      <c r="H25">
        <v>14</v>
      </c>
      <c r="I25" s="11"/>
      <c r="J25" s="11"/>
      <c r="K25" s="11">
        <f t="shared" si="6"/>
        <v>127.71114479510665</v>
      </c>
      <c r="L25" s="11">
        <f t="shared" si="4"/>
        <v>4637.077926510226</v>
      </c>
      <c r="M25" s="11"/>
      <c r="N25" s="17">
        <f t="shared" si="0"/>
        <v>1979.1369031639479</v>
      </c>
      <c r="O25" s="24"/>
      <c r="P25" s="17">
        <f t="shared" si="1"/>
        <v>384.7996251148297</v>
      </c>
      <c r="Q25" s="22">
        <v>44197</v>
      </c>
      <c r="S25" s="17">
        <f t="shared" si="2"/>
        <v>207.78135495442896</v>
      </c>
    </row>
    <row r="26" spans="2:19" ht="12.75">
      <c r="B26">
        <v>15</v>
      </c>
      <c r="C26" s="11"/>
      <c r="D26" s="11"/>
      <c r="E26" s="11">
        <f t="shared" si="5"/>
        <v>527.8860930072344</v>
      </c>
      <c r="F26" s="16">
        <f t="shared" si="3"/>
        <v>7144.100922681408</v>
      </c>
      <c r="H26">
        <v>15</v>
      </c>
      <c r="I26" s="11"/>
      <c r="J26" s="11"/>
      <c r="K26" s="11">
        <f t="shared" si="6"/>
        <v>131.54247913895986</v>
      </c>
      <c r="L26" s="16">
        <f t="shared" si="4"/>
        <v>4768.620405649185</v>
      </c>
      <c r="M26" s="11"/>
      <c r="N26" s="21">
        <f t="shared" si="0"/>
        <v>2375.4805170322225</v>
      </c>
      <c r="O26" s="24"/>
      <c r="P26" s="17">
        <f t="shared" si="1"/>
        <v>396.3436138682746</v>
      </c>
      <c r="Q26" s="22">
        <v>44562</v>
      </c>
      <c r="S26" s="17">
        <f t="shared" si="2"/>
        <v>204.79884746704477</v>
      </c>
    </row>
    <row r="27" spans="2:19" ht="12.75">
      <c r="B27">
        <v>16</v>
      </c>
      <c r="C27" s="11"/>
      <c r="D27" s="11"/>
      <c r="E27" s="11">
        <f t="shared" si="5"/>
        <v>543.7226757974514</v>
      </c>
      <c r="F27" s="11">
        <f t="shared" si="3"/>
        <v>7687.823598478859</v>
      </c>
      <c r="H27">
        <v>16</v>
      </c>
      <c r="I27" s="11"/>
      <c r="J27" s="11"/>
      <c r="K27" s="11">
        <f t="shared" si="6"/>
        <v>135.48875351312867</v>
      </c>
      <c r="L27" s="11">
        <f t="shared" si="4"/>
        <v>4904.1091591623135</v>
      </c>
      <c r="M27" s="11"/>
      <c r="N27" s="17">
        <f t="shared" si="0"/>
        <v>2783.7144393165454</v>
      </c>
      <c r="O27" s="24"/>
      <c r="P27" s="17">
        <f t="shared" si="1"/>
        <v>408.2339222843227</v>
      </c>
      <c r="Q27" s="22">
        <v>44927</v>
      </c>
      <c r="S27" s="17">
        <f t="shared" si="2"/>
        <v>201.85915109191976</v>
      </c>
    </row>
    <row r="28" spans="2:19" ht="12.75">
      <c r="B28">
        <v>17</v>
      </c>
      <c r="C28" s="11"/>
      <c r="D28" s="11"/>
      <c r="E28" s="11">
        <f t="shared" si="5"/>
        <v>560.034356071375</v>
      </c>
      <c r="F28" s="11">
        <f t="shared" si="3"/>
        <v>8247.857954550234</v>
      </c>
      <c r="H28">
        <v>17</v>
      </c>
      <c r="I28" s="11"/>
      <c r="J28" s="11"/>
      <c r="K28" s="11">
        <f t="shared" si="6"/>
        <v>139.55341611852253</v>
      </c>
      <c r="L28" s="11">
        <f t="shared" si="4"/>
        <v>5043.662575280836</v>
      </c>
      <c r="M28" s="11"/>
      <c r="N28" s="17">
        <f t="shared" si="0"/>
        <v>3204.1953792693985</v>
      </c>
      <c r="O28" s="24"/>
      <c r="P28" s="17">
        <f t="shared" si="1"/>
        <v>420.48093995285245</v>
      </c>
      <c r="Q28" s="22">
        <v>45292</v>
      </c>
      <c r="S28" s="17">
        <f t="shared" si="2"/>
        <v>198.96165131548074</v>
      </c>
    </row>
    <row r="29" spans="2:19" ht="12.75">
      <c r="B29">
        <v>18</v>
      </c>
      <c r="C29" s="11"/>
      <c r="D29" s="11"/>
      <c r="E29" s="11">
        <f t="shared" si="5"/>
        <v>576.8353867535162</v>
      </c>
      <c r="F29" s="11">
        <f t="shared" si="3"/>
        <v>8824.693341303751</v>
      </c>
      <c r="H29">
        <v>18</v>
      </c>
      <c r="I29" s="11"/>
      <c r="J29" s="11"/>
      <c r="K29" s="11">
        <f t="shared" si="6"/>
        <v>143.7400186020782</v>
      </c>
      <c r="L29" s="11">
        <f t="shared" si="4"/>
        <v>5187.4025938829145</v>
      </c>
      <c r="M29" s="11"/>
      <c r="N29" s="17">
        <f t="shared" si="0"/>
        <v>3637.290747420837</v>
      </c>
      <c r="O29" s="24"/>
      <c r="P29" s="17">
        <f t="shared" si="1"/>
        <v>433.09536815143804</v>
      </c>
      <c r="Q29" s="22">
        <v>45658</v>
      </c>
      <c r="S29" s="17">
        <f t="shared" si="2"/>
        <v>196.10574244492364</v>
      </c>
    </row>
    <row r="30" spans="2:19" ht="12.75">
      <c r="B30">
        <v>19</v>
      </c>
      <c r="C30" s="11"/>
      <c r="D30" s="11"/>
      <c r="E30" s="11">
        <f t="shared" si="5"/>
        <v>594.1404483561217</v>
      </c>
      <c r="F30" s="11">
        <f t="shared" si="3"/>
        <v>9418.833789659873</v>
      </c>
      <c r="H30">
        <v>19</v>
      </c>
      <c r="I30" s="11"/>
      <c r="J30" s="11"/>
      <c r="K30" s="11">
        <f t="shared" si="6"/>
        <v>148.05221916014057</v>
      </c>
      <c r="L30" s="11">
        <f t="shared" si="4"/>
        <v>5335.454813043055</v>
      </c>
      <c r="M30" s="11"/>
      <c r="N30" s="17">
        <f t="shared" si="0"/>
        <v>4083.3789766168184</v>
      </c>
      <c r="O30" s="24"/>
      <c r="P30" s="17">
        <f t="shared" si="1"/>
        <v>446.08822919598117</v>
      </c>
      <c r="Q30" s="22">
        <v>46023</v>
      </c>
      <c r="S30" s="17">
        <f t="shared" si="2"/>
        <v>193.2908274815994</v>
      </c>
    </row>
    <row r="31" spans="2:19" ht="12.75">
      <c r="B31">
        <v>20</v>
      </c>
      <c r="C31" s="11"/>
      <c r="D31" s="11">
        <f>$D$6*(1+$D$3)^B31</f>
        <v>541.8333704008239</v>
      </c>
      <c r="E31" s="11">
        <f t="shared" si="5"/>
        <v>611.9646618068055</v>
      </c>
      <c r="F31" s="16">
        <f t="shared" si="3"/>
        <v>10572.631821867502</v>
      </c>
      <c r="H31">
        <v>20</v>
      </c>
      <c r="I31" s="11"/>
      <c r="J31" s="11">
        <f>$J$6*(1+$D$3)^H31</f>
        <v>767.5972747345006</v>
      </c>
      <c r="K31" s="11">
        <f t="shared" si="6"/>
        <v>152.4937857349448</v>
      </c>
      <c r="L31" s="16">
        <f t="shared" si="4"/>
        <v>6255.5458735125</v>
      </c>
      <c r="M31" s="11"/>
      <c r="N31" s="21">
        <f t="shared" si="0"/>
        <v>4317.085948355002</v>
      </c>
      <c r="O31" s="24"/>
      <c r="P31" s="17">
        <f t="shared" si="1"/>
        <v>233.70697173818394</v>
      </c>
      <c r="Q31" s="22">
        <v>46388</v>
      </c>
      <c r="S31" s="17">
        <f t="shared" si="2"/>
        <v>96.90492708974497</v>
      </c>
    </row>
    <row r="32" spans="2:19" ht="12.75">
      <c r="B32">
        <v>21</v>
      </c>
      <c r="C32" s="11"/>
      <c r="D32" s="11"/>
      <c r="E32" s="11">
        <f t="shared" si="5"/>
        <v>630.3236016610097</v>
      </c>
      <c r="F32" s="11">
        <f t="shared" si="3"/>
        <v>11202.955423528512</v>
      </c>
      <c r="H32">
        <v>21</v>
      </c>
      <c r="I32" s="11"/>
      <c r="J32" s="11"/>
      <c r="K32" s="11">
        <f t="shared" si="6"/>
        <v>157.06859930699315</v>
      </c>
      <c r="L32" s="11">
        <f t="shared" si="4"/>
        <v>6412.614472819493</v>
      </c>
      <c r="M32" s="11"/>
      <c r="N32" s="17">
        <f t="shared" si="0"/>
        <v>4790.340950709019</v>
      </c>
      <c r="O32" s="24"/>
      <c r="P32" s="17">
        <f t="shared" si="1"/>
        <v>473.2550023540165</v>
      </c>
      <c r="Q32" s="22">
        <v>46753</v>
      </c>
      <c r="S32" s="17">
        <f t="shared" si="2"/>
        <v>187.7816340058413</v>
      </c>
    </row>
    <row r="33" spans="2:19" ht="12.75">
      <c r="B33">
        <v>22</v>
      </c>
      <c r="C33" s="11"/>
      <c r="D33" s="11"/>
      <c r="E33" s="11">
        <f t="shared" si="5"/>
        <v>649.23330971084</v>
      </c>
      <c r="F33" s="11">
        <f t="shared" si="3"/>
        <v>11852.188733239353</v>
      </c>
      <c r="H33">
        <v>22</v>
      </c>
      <c r="I33" s="11"/>
      <c r="J33" s="11"/>
      <c r="K33" s="11">
        <f t="shared" si="6"/>
        <v>161.78065728620294</v>
      </c>
      <c r="L33" s="11">
        <f t="shared" si="4"/>
        <v>6574.395130105696</v>
      </c>
      <c r="M33" s="11"/>
      <c r="N33" s="17">
        <f t="shared" si="0"/>
        <v>5277.793603133657</v>
      </c>
      <c r="O33" s="24"/>
      <c r="P33" s="17">
        <f t="shared" si="1"/>
        <v>487.45265242463705</v>
      </c>
      <c r="Q33" s="22">
        <v>47119</v>
      </c>
      <c r="S33" s="17">
        <f t="shared" si="2"/>
        <v>185.08620385264751</v>
      </c>
    </row>
    <row r="34" spans="2:19" ht="12.75">
      <c r="B34">
        <v>23</v>
      </c>
      <c r="C34" s="11"/>
      <c r="D34" s="11"/>
      <c r="E34" s="11">
        <f t="shared" si="5"/>
        <v>668.7103090021652</v>
      </c>
      <c r="F34" s="11">
        <f t="shared" si="3"/>
        <v>12520.899042241517</v>
      </c>
      <c r="H34">
        <v>23</v>
      </c>
      <c r="I34" s="11"/>
      <c r="J34" s="11"/>
      <c r="K34" s="11">
        <f t="shared" si="6"/>
        <v>166.63407700478902</v>
      </c>
      <c r="L34" s="11">
        <f t="shared" si="4"/>
        <v>6741.029207110485</v>
      </c>
      <c r="M34" s="11"/>
      <c r="N34" s="17">
        <f t="shared" si="0"/>
        <v>5779.869835131032</v>
      </c>
      <c r="O34" s="24"/>
      <c r="P34" s="17">
        <f t="shared" si="1"/>
        <v>502.0762319973762</v>
      </c>
      <c r="Q34" s="22">
        <v>47484</v>
      </c>
      <c r="S34" s="17">
        <f t="shared" si="2"/>
        <v>182.4294640844277</v>
      </c>
    </row>
    <row r="35" spans="2:19" ht="12.75">
      <c r="B35">
        <v>24</v>
      </c>
      <c r="C35" s="11"/>
      <c r="D35" s="11"/>
      <c r="E35" s="11">
        <f t="shared" si="5"/>
        <v>688.7716182722302</v>
      </c>
      <c r="F35" s="11">
        <f t="shared" si="3"/>
        <v>13209.670660513748</v>
      </c>
      <c r="H35">
        <v>24</v>
      </c>
      <c r="I35" s="11"/>
      <c r="J35" s="11"/>
      <c r="K35" s="11">
        <f t="shared" si="6"/>
        <v>171.6330993149327</v>
      </c>
      <c r="L35" s="11">
        <f t="shared" si="4"/>
        <v>6912.662306425418</v>
      </c>
      <c r="M35" s="11"/>
      <c r="N35" s="17">
        <f t="shared" si="0"/>
        <v>6297.00835408833</v>
      </c>
      <c r="O35" s="24"/>
      <c r="P35" s="17">
        <f t="shared" si="1"/>
        <v>517.1385189572975</v>
      </c>
      <c r="Q35" s="22">
        <v>47849</v>
      </c>
      <c r="S35" s="17">
        <f t="shared" si="2"/>
        <v>179.81085933680436</v>
      </c>
    </row>
    <row r="36" spans="2:19" ht="12.75">
      <c r="B36">
        <v>25</v>
      </c>
      <c r="C36" s="11"/>
      <c r="D36" s="11"/>
      <c r="E36" s="11">
        <f t="shared" si="5"/>
        <v>709.434766820397</v>
      </c>
      <c r="F36" s="16">
        <f t="shared" si="3"/>
        <v>13919.105427334145</v>
      </c>
      <c r="H36">
        <v>25</v>
      </c>
      <c r="I36" s="11"/>
      <c r="J36" s="11"/>
      <c r="K36" s="11">
        <f t="shared" si="6"/>
        <v>176.7820922943807</v>
      </c>
      <c r="L36" s="16">
        <f t="shared" si="4"/>
        <v>7089.444398719799</v>
      </c>
      <c r="M36" s="11"/>
      <c r="N36" s="21">
        <f t="shared" si="0"/>
        <v>6829.661028614346</v>
      </c>
      <c r="O36" s="24"/>
      <c r="P36" s="17">
        <f t="shared" si="1"/>
        <v>532.6526745260163</v>
      </c>
      <c r="Q36" s="22">
        <v>48214</v>
      </c>
      <c r="S36" s="17">
        <f t="shared" si="2"/>
        <v>177.2298422171373</v>
      </c>
    </row>
    <row r="37" spans="2:19" ht="12.75">
      <c r="B37">
        <v>26</v>
      </c>
      <c r="C37" s="11"/>
      <c r="D37" s="11"/>
      <c r="E37" s="11">
        <f t="shared" si="5"/>
        <v>730.717809825009</v>
      </c>
      <c r="F37" s="11">
        <f t="shared" si="3"/>
        <v>14649.823237159155</v>
      </c>
      <c r="H37">
        <v>26</v>
      </c>
      <c r="I37" s="11"/>
      <c r="J37" s="11"/>
      <c r="K37" s="11">
        <f t="shared" si="6"/>
        <v>182.08555506321213</v>
      </c>
      <c r="L37" s="11">
        <f t="shared" si="4"/>
        <v>7271.5299537830115</v>
      </c>
      <c r="M37" s="11"/>
      <c r="N37" s="17">
        <f t="shared" si="0"/>
        <v>7378.293283376143</v>
      </c>
      <c r="O37" s="24"/>
      <c r="P37" s="17">
        <f t="shared" si="1"/>
        <v>548.6322547617968</v>
      </c>
      <c r="Q37" s="22">
        <v>48580</v>
      </c>
      <c r="S37" s="17">
        <f t="shared" si="2"/>
        <v>174.6858731900971</v>
      </c>
    </row>
    <row r="38" spans="2:19" ht="12.75">
      <c r="B38">
        <v>27</v>
      </c>
      <c r="C38" s="11"/>
      <c r="D38" s="11"/>
      <c r="E38" s="11">
        <f t="shared" si="5"/>
        <v>752.6393441197592</v>
      </c>
      <c r="F38" s="11">
        <f t="shared" si="3"/>
        <v>15402.462581278915</v>
      </c>
      <c r="H38">
        <v>27</v>
      </c>
      <c r="I38" s="11"/>
      <c r="J38" s="11"/>
      <c r="K38" s="11">
        <f t="shared" si="6"/>
        <v>187.5481217151085</v>
      </c>
      <c r="L38" s="11">
        <f t="shared" si="4"/>
        <v>7459.07807549812</v>
      </c>
      <c r="M38" s="11"/>
      <c r="N38" s="17">
        <f t="shared" si="0"/>
        <v>7943.384505780795</v>
      </c>
      <c r="O38" s="24"/>
      <c r="P38" s="17">
        <f t="shared" si="1"/>
        <v>565.0912224046508</v>
      </c>
      <c r="Q38" s="22">
        <v>48945</v>
      </c>
      <c r="S38" s="17">
        <f t="shared" si="2"/>
        <v>172.17842046488042</v>
      </c>
    </row>
    <row r="39" spans="2:19" ht="12.75">
      <c r="B39">
        <v>28</v>
      </c>
      <c r="C39" s="11"/>
      <c r="D39" s="11"/>
      <c r="E39" s="11">
        <f t="shared" si="5"/>
        <v>775.2185244433521</v>
      </c>
      <c r="F39" s="11">
        <f t="shared" si="3"/>
        <v>16177.681105722266</v>
      </c>
      <c r="H39">
        <v>28</v>
      </c>
      <c r="I39" s="11"/>
      <c r="J39" s="11"/>
      <c r="K39" s="11">
        <f t="shared" si="6"/>
        <v>193.17456536656175</v>
      </c>
      <c r="L39" s="11">
        <f t="shared" si="4"/>
        <v>7652.252640864682</v>
      </c>
      <c r="M39" s="11"/>
      <c r="N39" s="17">
        <f t="shared" si="0"/>
        <v>8525.428464857585</v>
      </c>
      <c r="O39" s="24"/>
      <c r="P39" s="17">
        <f t="shared" si="1"/>
        <v>582.0439590767903</v>
      </c>
      <c r="Q39" s="22">
        <v>49310</v>
      </c>
      <c r="S39" s="17">
        <f t="shared" si="2"/>
        <v>169.70695988404484</v>
      </c>
    </row>
    <row r="40" spans="2:19" ht="12.75">
      <c r="B40">
        <v>29</v>
      </c>
      <c r="C40" s="11"/>
      <c r="D40" s="11"/>
      <c r="E40" s="11">
        <f t="shared" si="5"/>
        <v>798.4750801766527</v>
      </c>
      <c r="F40" s="11">
        <f t="shared" si="3"/>
        <v>16976.15618589892</v>
      </c>
      <c r="H40">
        <v>29</v>
      </c>
      <c r="I40" s="11"/>
      <c r="J40" s="11"/>
      <c r="K40" s="11">
        <f t="shared" si="6"/>
        <v>198.9698023275586</v>
      </c>
      <c r="L40" s="11">
        <f t="shared" si="4"/>
        <v>7851.2224431922405</v>
      </c>
      <c r="M40" s="11"/>
      <c r="N40" s="17">
        <f t="shared" si="0"/>
        <v>9124.933742706678</v>
      </c>
      <c r="O40" s="24"/>
      <c r="P40" s="17">
        <f t="shared" si="1"/>
        <v>599.5052778490941</v>
      </c>
      <c r="Q40" s="22">
        <v>49675</v>
      </c>
      <c r="S40" s="17">
        <f t="shared" si="2"/>
        <v>167.27097481393892</v>
      </c>
    </row>
    <row r="41" spans="2:19" ht="12.75">
      <c r="B41">
        <v>30</v>
      </c>
      <c r="C41" s="11"/>
      <c r="D41" s="11">
        <f>$D$6*(1+$D$3)^B41</f>
        <v>728.1787413568977</v>
      </c>
      <c r="E41" s="11">
        <f t="shared" si="5"/>
        <v>822.4293325819523</v>
      </c>
      <c r="F41" s="16">
        <f t="shared" si="3"/>
        <v>18526.764259837768</v>
      </c>
      <c r="H41">
        <v>30</v>
      </c>
      <c r="I41" s="11"/>
      <c r="J41" s="11">
        <f>$J$6*(1+$D$3)^H41</f>
        <v>1031.586550255605</v>
      </c>
      <c r="K41" s="11">
        <f t="shared" si="6"/>
        <v>204.93889639738535</v>
      </c>
      <c r="L41" s="16">
        <f t="shared" si="4"/>
        <v>9087.747889845232</v>
      </c>
      <c r="M41" s="11"/>
      <c r="N41" s="21">
        <f t="shared" si="0"/>
        <v>9439.016369992536</v>
      </c>
      <c r="O41" s="24"/>
      <c r="P41" s="17">
        <f t="shared" si="1"/>
        <v>314.0826272858594</v>
      </c>
      <c r="Q41" s="22">
        <v>50041</v>
      </c>
      <c r="S41" s="17">
        <f t="shared" si="2"/>
        <v>83.8600663558047</v>
      </c>
    </row>
    <row r="42" spans="2:19" ht="12.75">
      <c r="B42" s="14"/>
      <c r="C42" s="15"/>
      <c r="D42" s="15"/>
      <c r="E42" s="15"/>
      <c r="F42" s="15"/>
      <c r="G42" s="15"/>
      <c r="H42" s="14"/>
      <c r="I42" s="15"/>
      <c r="J42" s="15"/>
      <c r="K42" s="15"/>
      <c r="L42" s="15"/>
      <c r="M42" s="15"/>
      <c r="S42" s="17">
        <f>SUM(S11:S41)</f>
        <v>3534.789975072465</v>
      </c>
    </row>
    <row r="43" ht="12.75">
      <c r="S43" s="17">
        <f>SUM(S12:S41)</f>
        <v>5864.789975072463</v>
      </c>
    </row>
    <row r="44" ht="12.75">
      <c r="S44" s="37"/>
    </row>
  </sheetData>
  <sheetProtection password="DC79" sheet="1" objects="1" scenario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9.140625" defaultRowHeight="12.75"/>
  <sheetData>
    <row r="2" spans="3:4" ht="12.75">
      <c r="C2" s="1" t="s">
        <v>296</v>
      </c>
      <c r="D2" s="1" t="s">
        <v>297</v>
      </c>
    </row>
    <row r="3" spans="2:4" ht="12.75">
      <c r="B3" t="s">
        <v>64</v>
      </c>
      <c r="C3" s="79">
        <f>'egUSAruns (N)'!H7</f>
        <v>3.480669854856244</v>
      </c>
      <c r="D3" s="79">
        <f>C3/$C$3</f>
        <v>1</v>
      </c>
    </row>
    <row r="4" spans="2:4" ht="12.75">
      <c r="B4" t="s">
        <v>65</v>
      </c>
      <c r="C4" s="79">
        <f>'egUSAruns (C)'!H7</f>
        <v>6.200164934506742</v>
      </c>
      <c r="D4" s="79">
        <f>C4/$C$3</f>
        <v>1.781313710594025</v>
      </c>
    </row>
    <row r="5" spans="2:4" ht="12.75">
      <c r="B5" t="s">
        <v>66</v>
      </c>
      <c r="C5" s="79">
        <f>'egUSAruns (S)'!H7</f>
        <v>7.6037711342031935</v>
      </c>
      <c r="D5" s="79">
        <f>C5/$C$3</f>
        <v>2.1845712036131157</v>
      </c>
    </row>
  </sheetData>
  <sheetProtection password="DC79" sheet="1" objects="1" scenario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P45"/>
  <sheetViews>
    <sheetView workbookViewId="0" topLeftCell="A1">
      <selection activeCell="N12" sqref="N12"/>
    </sheetView>
  </sheetViews>
  <sheetFormatPr defaultColWidth="9.140625" defaultRowHeight="12.75"/>
  <cols>
    <col min="1" max="1" width="14.57421875" style="0" customWidth="1"/>
    <col min="2" max="13" width="8.7109375" style="0" customWidth="1"/>
  </cols>
  <sheetData>
    <row r="1" spans="1:14" ht="16.5" thickBot="1">
      <c r="A1" s="240" t="s">
        <v>224</v>
      </c>
      <c r="B1" s="240"/>
      <c r="C1" s="240"/>
      <c r="D1" s="240"/>
      <c r="E1" s="240"/>
      <c r="F1" s="240"/>
      <c r="G1" s="240"/>
      <c r="H1" s="240"/>
      <c r="I1" s="240"/>
      <c r="J1" s="240"/>
      <c r="K1" s="240"/>
      <c r="L1" s="240"/>
      <c r="M1" s="240"/>
      <c r="N1" s="240"/>
    </row>
    <row r="2" spans="1:14" ht="14.25" thickBot="1" thickTop="1">
      <c r="A2" s="142" t="s">
        <v>242</v>
      </c>
      <c r="B2" s="143" t="s">
        <v>225</v>
      </c>
      <c r="C2" s="144" t="s">
        <v>226</v>
      </c>
      <c r="D2" s="144" t="s">
        <v>227</v>
      </c>
      <c r="E2" s="144" t="s">
        <v>228</v>
      </c>
      <c r="F2" s="144" t="s">
        <v>229</v>
      </c>
      <c r="G2" s="144" t="s">
        <v>230</v>
      </c>
      <c r="H2" s="144" t="s">
        <v>231</v>
      </c>
      <c r="I2" s="144" t="s">
        <v>232</v>
      </c>
      <c r="J2" s="144" t="s">
        <v>233</v>
      </c>
      <c r="K2" s="144" t="s">
        <v>234</v>
      </c>
      <c r="L2" s="144" t="s">
        <v>235</v>
      </c>
      <c r="M2" s="145" t="s">
        <v>236</v>
      </c>
      <c r="N2" s="146" t="s">
        <v>237</v>
      </c>
    </row>
    <row r="3" spans="1:14" ht="12.75">
      <c r="A3" s="147" t="s">
        <v>211</v>
      </c>
      <c r="B3" s="124">
        <v>64.77</v>
      </c>
      <c r="C3" s="125">
        <v>65.07</v>
      </c>
      <c r="D3" s="125">
        <v>67.6</v>
      </c>
      <c r="E3" s="125">
        <v>71.72</v>
      </c>
      <c r="F3" s="125">
        <v>76.35</v>
      </c>
      <c r="G3" s="125">
        <v>80.28</v>
      </c>
      <c r="H3" s="125">
        <v>82.49</v>
      </c>
      <c r="I3" s="125">
        <v>82.4</v>
      </c>
      <c r="J3" s="125">
        <v>80.04</v>
      </c>
      <c r="K3" s="125">
        <v>76.02</v>
      </c>
      <c r="L3" s="125">
        <v>71.32</v>
      </c>
      <c r="M3" s="126">
        <v>67.35</v>
      </c>
      <c r="N3" s="148">
        <f>AVERAGE(B3:M3)</f>
        <v>73.78416666666666</v>
      </c>
    </row>
    <row r="4" spans="1:15" ht="12.75">
      <c r="A4" s="147" t="s">
        <v>208</v>
      </c>
      <c r="B4" s="124">
        <v>66.05</v>
      </c>
      <c r="C4" s="125">
        <v>66.38</v>
      </c>
      <c r="D4" s="125">
        <v>68.81</v>
      </c>
      <c r="E4" s="125">
        <v>72.69</v>
      </c>
      <c r="F4" s="125">
        <v>77.03</v>
      </c>
      <c r="G4" s="125">
        <v>80.68</v>
      </c>
      <c r="H4" s="125">
        <v>82.7</v>
      </c>
      <c r="I4" s="125">
        <v>82.56</v>
      </c>
      <c r="J4" s="125">
        <v>80.3</v>
      </c>
      <c r="K4" s="125">
        <v>76.5</v>
      </c>
      <c r="L4" s="125">
        <v>72.16</v>
      </c>
      <c r="M4" s="126">
        <v>68.41</v>
      </c>
      <c r="N4" s="148">
        <f>AVERAGE(B4:M4)</f>
        <v>74.5225</v>
      </c>
      <c r="O4" s="79"/>
    </row>
    <row r="5" spans="1:14" ht="13.5" thickBot="1">
      <c r="A5" s="149" t="s">
        <v>238</v>
      </c>
      <c r="B5" s="127">
        <f>AVERAGE(B3:B4)</f>
        <v>65.41</v>
      </c>
      <c r="C5" s="128">
        <f aca="true" t="shared" si="0" ref="C5:M5">AVERAGE(C3:C4)</f>
        <v>65.725</v>
      </c>
      <c r="D5" s="128">
        <f t="shared" si="0"/>
        <v>68.205</v>
      </c>
      <c r="E5" s="128">
        <f t="shared" si="0"/>
        <v>72.205</v>
      </c>
      <c r="F5" s="128">
        <f t="shared" si="0"/>
        <v>76.69</v>
      </c>
      <c r="G5" s="128">
        <f t="shared" si="0"/>
        <v>80.48</v>
      </c>
      <c r="H5" s="128">
        <f t="shared" si="0"/>
        <v>82.595</v>
      </c>
      <c r="I5" s="128">
        <f t="shared" si="0"/>
        <v>82.48</v>
      </c>
      <c r="J5" s="128">
        <f t="shared" si="0"/>
        <v>80.17</v>
      </c>
      <c r="K5" s="128">
        <f t="shared" si="0"/>
        <v>76.25999999999999</v>
      </c>
      <c r="L5" s="128">
        <f t="shared" si="0"/>
        <v>71.74</v>
      </c>
      <c r="M5" s="129">
        <f t="shared" si="0"/>
        <v>67.88</v>
      </c>
      <c r="N5" s="166">
        <f>AVERAGE(N3:N4)</f>
        <v>74.15333333333334</v>
      </c>
    </row>
    <row r="6" spans="1:14" ht="12.75">
      <c r="A6" s="150" t="s">
        <v>207</v>
      </c>
      <c r="B6" s="130">
        <v>69.04</v>
      </c>
      <c r="C6" s="131">
        <v>69.46</v>
      </c>
      <c r="D6" s="131">
        <v>71.71</v>
      </c>
      <c r="E6" s="131">
        <v>75.2</v>
      </c>
      <c r="F6" s="131">
        <v>79.02</v>
      </c>
      <c r="G6" s="131">
        <v>82.18</v>
      </c>
      <c r="H6" s="131">
        <v>83.84</v>
      </c>
      <c r="I6" s="131">
        <v>83.58</v>
      </c>
      <c r="J6" s="131">
        <v>81.47</v>
      </c>
      <c r="K6" s="131">
        <v>78.05</v>
      </c>
      <c r="L6" s="131">
        <v>74.22</v>
      </c>
      <c r="M6" s="132">
        <v>70.98</v>
      </c>
      <c r="N6" s="151">
        <f>AVERAGE(B6:M6)</f>
        <v>76.5625</v>
      </c>
    </row>
    <row r="7" spans="1:15" ht="12.75">
      <c r="A7" s="152" t="s">
        <v>206</v>
      </c>
      <c r="B7" s="133">
        <v>70.92</v>
      </c>
      <c r="C7" s="134">
        <v>71.45</v>
      </c>
      <c r="D7" s="134">
        <v>73.73</v>
      </c>
      <c r="E7" s="134">
        <v>77.18</v>
      </c>
      <c r="F7" s="134">
        <v>80.9</v>
      </c>
      <c r="G7" s="134">
        <v>83.91</v>
      </c>
      <c r="H7" s="134">
        <v>85.44</v>
      </c>
      <c r="I7" s="134">
        <v>85.07</v>
      </c>
      <c r="J7" s="134">
        <v>82.92</v>
      </c>
      <c r="K7" s="134">
        <v>79.53</v>
      </c>
      <c r="L7" s="134">
        <v>75.8</v>
      </c>
      <c r="M7" s="135">
        <v>72.69</v>
      </c>
      <c r="N7" s="153">
        <f>AVERAGE(B7:M7)</f>
        <v>78.29499999999997</v>
      </c>
      <c r="O7" s="79"/>
    </row>
    <row r="8" spans="1:14" ht="13.5" thickBot="1">
      <c r="A8" s="162" t="s">
        <v>239</v>
      </c>
      <c r="B8" s="163">
        <f>AVERAGE(B6:B7)</f>
        <v>69.98</v>
      </c>
      <c r="C8" s="164">
        <f aca="true" t="shared" si="1" ref="C8:M8">AVERAGE(C6:C7)</f>
        <v>70.455</v>
      </c>
      <c r="D8" s="164">
        <f t="shared" si="1"/>
        <v>72.72</v>
      </c>
      <c r="E8" s="164">
        <f t="shared" si="1"/>
        <v>76.19</v>
      </c>
      <c r="F8" s="164">
        <f t="shared" si="1"/>
        <v>79.96000000000001</v>
      </c>
      <c r="G8" s="164">
        <f t="shared" si="1"/>
        <v>83.045</v>
      </c>
      <c r="H8" s="164">
        <f t="shared" si="1"/>
        <v>84.64</v>
      </c>
      <c r="I8" s="164">
        <f t="shared" si="1"/>
        <v>84.32499999999999</v>
      </c>
      <c r="J8" s="164">
        <f t="shared" si="1"/>
        <v>82.195</v>
      </c>
      <c r="K8" s="164">
        <f t="shared" si="1"/>
        <v>78.78999999999999</v>
      </c>
      <c r="L8" s="164">
        <f t="shared" si="1"/>
        <v>75.00999999999999</v>
      </c>
      <c r="M8" s="165">
        <f t="shared" si="1"/>
        <v>71.83500000000001</v>
      </c>
      <c r="N8" s="167">
        <f>AVERAGE(N6:N7)</f>
        <v>77.42874999999998</v>
      </c>
    </row>
    <row r="9" spans="1:15" ht="12.75">
      <c r="A9" s="154" t="s">
        <v>212</v>
      </c>
      <c r="B9" s="136">
        <v>74.74</v>
      </c>
      <c r="C9" s="137">
        <v>75.27</v>
      </c>
      <c r="D9" s="137">
        <v>77.16</v>
      </c>
      <c r="E9" s="137">
        <v>79.93</v>
      </c>
      <c r="F9" s="137">
        <v>82.84</v>
      </c>
      <c r="G9" s="137">
        <v>85.14</v>
      </c>
      <c r="H9" s="137">
        <v>86.24</v>
      </c>
      <c r="I9" s="137">
        <v>85.84</v>
      </c>
      <c r="J9" s="137">
        <v>84.04</v>
      </c>
      <c r="K9" s="137">
        <v>81.33</v>
      </c>
      <c r="L9" s="137">
        <v>78.39</v>
      </c>
      <c r="M9" s="138">
        <v>76.01</v>
      </c>
      <c r="N9" s="155">
        <f>AVERAGE(B9:M9)</f>
        <v>80.5775</v>
      </c>
      <c r="O9" s="79"/>
    </row>
    <row r="10" spans="1:14" ht="12.75">
      <c r="A10" s="156" t="s">
        <v>210</v>
      </c>
      <c r="B10" s="139">
        <v>76.07</v>
      </c>
      <c r="C10" s="140">
        <v>76.61</v>
      </c>
      <c r="D10" s="140">
        <v>78.42</v>
      </c>
      <c r="E10" s="140">
        <v>81.01</v>
      </c>
      <c r="F10" s="140">
        <v>83.72</v>
      </c>
      <c r="G10" s="140">
        <v>85.85</v>
      </c>
      <c r="H10" s="140">
        <v>86.82</v>
      </c>
      <c r="I10" s="140">
        <v>86.4</v>
      </c>
      <c r="J10" s="140">
        <v>84.69</v>
      </c>
      <c r="K10" s="140">
        <v>82.14</v>
      </c>
      <c r="L10" s="140">
        <v>79.41</v>
      </c>
      <c r="M10" s="141">
        <v>77.21</v>
      </c>
      <c r="N10" s="157">
        <f>AVERAGE(B10:M10)</f>
        <v>81.52916666666665</v>
      </c>
    </row>
    <row r="11" spans="1:14" ht="12.75">
      <c r="A11" s="156" t="s">
        <v>209</v>
      </c>
      <c r="B11" s="139">
        <v>77.89</v>
      </c>
      <c r="C11" s="140">
        <v>78.49</v>
      </c>
      <c r="D11" s="140">
        <v>80.31</v>
      </c>
      <c r="E11" s="140">
        <v>82.87</v>
      </c>
      <c r="F11" s="140">
        <v>85.5</v>
      </c>
      <c r="G11" s="140">
        <v>87.52</v>
      </c>
      <c r="H11" s="140">
        <v>88.4</v>
      </c>
      <c r="I11" s="140">
        <v>87.91</v>
      </c>
      <c r="J11" s="140">
        <v>86.18</v>
      </c>
      <c r="K11" s="140">
        <v>83.66</v>
      </c>
      <c r="L11" s="140">
        <v>81.01</v>
      </c>
      <c r="M11" s="141">
        <v>78.91</v>
      </c>
      <c r="N11" s="157">
        <f>AVERAGE(B11:M11)</f>
        <v>83.22083333333332</v>
      </c>
    </row>
    <row r="12" spans="1:14" ht="13.5" thickBot="1">
      <c r="A12" s="158" t="s">
        <v>240</v>
      </c>
      <c r="B12" s="159">
        <f>AVERAGE(B9:B11)</f>
        <v>76.23333333333333</v>
      </c>
      <c r="C12" s="160">
        <f aca="true" t="shared" si="2" ref="C12:M12">AVERAGE(C9:C11)</f>
        <v>76.79</v>
      </c>
      <c r="D12" s="160">
        <f t="shared" si="2"/>
        <v>78.63</v>
      </c>
      <c r="E12" s="160">
        <f t="shared" si="2"/>
        <v>81.27</v>
      </c>
      <c r="F12" s="160">
        <f t="shared" si="2"/>
        <v>84.02</v>
      </c>
      <c r="G12" s="160">
        <f t="shared" si="2"/>
        <v>86.17</v>
      </c>
      <c r="H12" s="160">
        <f t="shared" si="2"/>
        <v>87.15333333333335</v>
      </c>
      <c r="I12" s="160">
        <f t="shared" si="2"/>
        <v>86.71666666666665</v>
      </c>
      <c r="J12" s="160">
        <f t="shared" si="2"/>
        <v>84.97000000000001</v>
      </c>
      <c r="K12" s="160">
        <f t="shared" si="2"/>
        <v>82.37666666666667</v>
      </c>
      <c r="L12" s="160">
        <f t="shared" si="2"/>
        <v>79.60333333333334</v>
      </c>
      <c r="M12" s="161">
        <f t="shared" si="2"/>
        <v>77.37666666666667</v>
      </c>
      <c r="N12" s="168">
        <f>AVERAGE(N9:N11)</f>
        <v>81.77583333333332</v>
      </c>
    </row>
    <row r="13" spans="1:16" ht="13.5" thickTop="1">
      <c r="A13" s="97"/>
      <c r="B13" s="98"/>
      <c r="C13" s="98"/>
      <c r="D13" s="98"/>
      <c r="E13" s="98"/>
      <c r="F13" s="98"/>
      <c r="G13" s="98"/>
      <c r="H13" s="98"/>
      <c r="I13" s="98"/>
      <c r="J13" s="98"/>
      <c r="K13" s="98"/>
      <c r="L13" s="98"/>
      <c r="M13" s="98"/>
      <c r="N13" s="96"/>
      <c r="P13">
        <v>120</v>
      </c>
    </row>
    <row r="14" spans="1:15" ht="12.75">
      <c r="A14" s="189" t="s">
        <v>206</v>
      </c>
      <c r="O14" t="s">
        <v>351</v>
      </c>
    </row>
    <row r="15" spans="1:15" ht="12.75">
      <c r="A15" s="189" t="s">
        <v>350</v>
      </c>
      <c r="B15" s="79">
        <f>B7</f>
        <v>70.92</v>
      </c>
      <c r="C15" s="79">
        <f aca="true" t="shared" si="3" ref="C15:N15">C7</f>
        <v>71.45</v>
      </c>
      <c r="D15" s="79">
        <f t="shared" si="3"/>
        <v>73.73</v>
      </c>
      <c r="E15" s="79">
        <f t="shared" si="3"/>
        <v>77.18</v>
      </c>
      <c r="F15" s="79">
        <f t="shared" si="3"/>
        <v>80.9</v>
      </c>
      <c r="G15" s="79">
        <f t="shared" si="3"/>
        <v>83.91</v>
      </c>
      <c r="H15" s="79">
        <f t="shared" si="3"/>
        <v>85.44</v>
      </c>
      <c r="I15" s="79">
        <f t="shared" si="3"/>
        <v>85.07</v>
      </c>
      <c r="J15" s="79">
        <f t="shared" si="3"/>
        <v>82.92</v>
      </c>
      <c r="K15" s="79">
        <f t="shared" si="3"/>
        <v>79.53</v>
      </c>
      <c r="L15" s="79">
        <f t="shared" si="3"/>
        <v>75.8</v>
      </c>
      <c r="M15" s="79">
        <f t="shared" si="3"/>
        <v>72.69</v>
      </c>
      <c r="N15" s="79">
        <f t="shared" si="3"/>
        <v>78.29499999999997</v>
      </c>
      <c r="O15" s="2">
        <f>(8.34*64.3*($P$13-N15))*365/1000/3.412</f>
        <v>2392.483718977141</v>
      </c>
    </row>
    <row r="16" spans="1:15" ht="12.75">
      <c r="A16" s="189" t="s">
        <v>347</v>
      </c>
      <c r="B16" s="79">
        <v>71.6</v>
      </c>
      <c r="C16" s="79">
        <v>71.6</v>
      </c>
      <c r="D16" s="79">
        <v>71.8</v>
      </c>
      <c r="E16" s="79">
        <v>72.1</v>
      </c>
      <c r="F16" s="79">
        <v>72.4</v>
      </c>
      <c r="G16" s="79">
        <v>72.6</v>
      </c>
      <c r="H16" s="79">
        <v>72.6</v>
      </c>
      <c r="I16" s="79">
        <v>72.6</v>
      </c>
      <c r="J16" s="79">
        <v>72.6</v>
      </c>
      <c r="K16" s="79">
        <v>72.3</v>
      </c>
      <c r="L16" s="79">
        <v>71.9</v>
      </c>
      <c r="M16" s="79">
        <v>71.6</v>
      </c>
      <c r="N16" s="79">
        <f>AVERAGE(B16:M16)</f>
        <v>72.14166666666667</v>
      </c>
      <c r="O16" s="2">
        <f>(8.34*64.3*($P$13-N16))*365/1000/3.412</f>
        <v>2745.4809571365763</v>
      </c>
    </row>
    <row r="17" spans="1:15" ht="12.75">
      <c r="A17" t="s">
        <v>348</v>
      </c>
      <c r="B17" s="79">
        <v>67.5</v>
      </c>
      <c r="C17" s="79">
        <v>69.07</v>
      </c>
      <c r="D17" s="79">
        <v>69.74</v>
      </c>
      <c r="E17" s="79">
        <v>74.26</v>
      </c>
      <c r="F17" s="79">
        <v>79.24</v>
      </c>
      <c r="G17" s="79">
        <v>79.87</v>
      </c>
      <c r="H17" s="79">
        <v>82.06</v>
      </c>
      <c r="I17" s="79">
        <v>81.78</v>
      </c>
      <c r="J17" s="79">
        <v>80.72</v>
      </c>
      <c r="K17" s="79">
        <v>78.05</v>
      </c>
      <c r="L17" s="79">
        <v>74.44</v>
      </c>
      <c r="M17" s="79">
        <v>70.31</v>
      </c>
      <c r="N17" s="79">
        <f>AVERAGE(B17:M17)</f>
        <v>75.58666666666666</v>
      </c>
      <c r="O17" s="2">
        <f>(8.34*64.3*($P$13-N17))*365/1000/3.412</f>
        <v>2547.8522216881597</v>
      </c>
    </row>
    <row r="18" spans="1:15" ht="12.75">
      <c r="A18" t="s">
        <v>349</v>
      </c>
      <c r="B18" s="79">
        <f>B7-2</f>
        <v>68.92</v>
      </c>
      <c r="C18" s="79">
        <f aca="true" t="shared" si="4" ref="C18:M18">C7-2</f>
        <v>69.45</v>
      </c>
      <c r="D18" s="79">
        <f t="shared" si="4"/>
        <v>71.73</v>
      </c>
      <c r="E18" s="79">
        <f t="shared" si="4"/>
        <v>75.18</v>
      </c>
      <c r="F18" s="79">
        <f t="shared" si="4"/>
        <v>78.9</v>
      </c>
      <c r="G18" s="79">
        <f t="shared" si="4"/>
        <v>81.91</v>
      </c>
      <c r="H18" s="79">
        <f t="shared" si="4"/>
        <v>83.44</v>
      </c>
      <c r="I18" s="79">
        <f t="shared" si="4"/>
        <v>83.07</v>
      </c>
      <c r="J18" s="79">
        <f t="shared" si="4"/>
        <v>80.92</v>
      </c>
      <c r="K18" s="79">
        <f t="shared" si="4"/>
        <v>77.53</v>
      </c>
      <c r="L18" s="79">
        <f t="shared" si="4"/>
        <v>73.8</v>
      </c>
      <c r="M18" s="79">
        <f t="shared" si="4"/>
        <v>70.69</v>
      </c>
      <c r="N18" s="79">
        <f>AVERAGE(B18:M18)</f>
        <v>76.29499999999997</v>
      </c>
      <c r="O18" s="2">
        <f>(8.34*64.3*($P$13-N18))*365/1000/3.412</f>
        <v>2507.2173825175864</v>
      </c>
    </row>
    <row r="20" spans="2:4" ht="12.75">
      <c r="B20" s="1" t="s">
        <v>24</v>
      </c>
      <c r="C20" s="223">
        <v>0.0075</v>
      </c>
      <c r="D20" t="s">
        <v>353</v>
      </c>
    </row>
    <row r="21" spans="2:6" ht="12.75">
      <c r="B21">
        <v>1</v>
      </c>
      <c r="C21" s="221">
        <v>1350</v>
      </c>
      <c r="D21" s="123"/>
      <c r="F21" s="123"/>
    </row>
    <row r="22" spans="2:6" ht="12.75">
      <c r="B22">
        <v>2</v>
      </c>
      <c r="C22" s="123">
        <f aca="true" t="shared" si="5" ref="C22:C40">C21-$C$20*C21</f>
        <v>1339.875</v>
      </c>
      <c r="D22" s="123"/>
      <c r="F22" s="123"/>
    </row>
    <row r="23" spans="2:6" ht="12.75">
      <c r="B23">
        <v>3</v>
      </c>
      <c r="C23" s="123">
        <f t="shared" si="5"/>
        <v>1329.8259375</v>
      </c>
      <c r="D23" s="123"/>
      <c r="F23" s="123"/>
    </row>
    <row r="24" spans="2:6" ht="12.75">
      <c r="B24">
        <v>4</v>
      </c>
      <c r="C24" s="123">
        <f t="shared" si="5"/>
        <v>1319.85224296875</v>
      </c>
      <c r="D24" s="123"/>
      <c r="F24" s="123"/>
    </row>
    <row r="25" spans="2:6" ht="12.75">
      <c r="B25">
        <v>5</v>
      </c>
      <c r="C25" s="123">
        <f t="shared" si="5"/>
        <v>1309.9533511464845</v>
      </c>
      <c r="D25" s="123"/>
      <c r="F25" s="123"/>
    </row>
    <row r="26" spans="2:6" ht="12.75">
      <c r="B26">
        <v>6</v>
      </c>
      <c r="C26" s="123">
        <f t="shared" si="5"/>
        <v>1300.1287010128858</v>
      </c>
      <c r="D26" s="123"/>
      <c r="F26" s="123"/>
    </row>
    <row r="27" spans="2:6" ht="12.75">
      <c r="B27">
        <v>7</v>
      </c>
      <c r="C27" s="123">
        <f t="shared" si="5"/>
        <v>1290.3777357552892</v>
      </c>
      <c r="D27" s="123"/>
      <c r="F27" s="123"/>
    </row>
    <row r="28" spans="2:6" ht="12.75">
      <c r="B28">
        <v>8</v>
      </c>
      <c r="C28" s="123">
        <f t="shared" si="5"/>
        <v>1280.6999027371246</v>
      </c>
      <c r="D28" s="123"/>
      <c r="F28" s="123"/>
    </row>
    <row r="29" spans="2:6" ht="12.75">
      <c r="B29">
        <v>9</v>
      </c>
      <c r="C29" s="123">
        <f t="shared" si="5"/>
        <v>1271.0946534665961</v>
      </c>
      <c r="D29" s="123"/>
      <c r="F29" s="123"/>
    </row>
    <row r="30" spans="2:6" ht="12.75">
      <c r="B30">
        <v>10</v>
      </c>
      <c r="C30" s="123">
        <f t="shared" si="5"/>
        <v>1261.5614435655966</v>
      </c>
      <c r="D30" s="123"/>
      <c r="F30" s="123"/>
    </row>
    <row r="31" spans="2:6" ht="12.75">
      <c r="B31">
        <v>11</v>
      </c>
      <c r="C31" s="123">
        <f t="shared" si="5"/>
        <v>1252.0997327388548</v>
      </c>
      <c r="D31" s="123"/>
      <c r="F31" s="123"/>
    </row>
    <row r="32" spans="2:6" ht="12.75">
      <c r="B32">
        <v>12</v>
      </c>
      <c r="C32" s="123">
        <f t="shared" si="5"/>
        <v>1242.7089847433133</v>
      </c>
      <c r="D32" s="123"/>
      <c r="F32" s="123"/>
    </row>
    <row r="33" spans="2:6" ht="12.75">
      <c r="B33">
        <v>13</v>
      </c>
      <c r="C33" s="123">
        <f t="shared" si="5"/>
        <v>1233.3886673577385</v>
      </c>
      <c r="D33" s="123"/>
      <c r="F33" s="123"/>
    </row>
    <row r="34" spans="2:6" ht="12.75">
      <c r="B34">
        <v>14</v>
      </c>
      <c r="C34" s="123">
        <f t="shared" si="5"/>
        <v>1224.1382523525556</v>
      </c>
      <c r="D34" s="123"/>
      <c r="F34" s="123"/>
    </row>
    <row r="35" spans="2:6" ht="12.75">
      <c r="B35">
        <v>15</v>
      </c>
      <c r="C35" s="123">
        <f t="shared" si="5"/>
        <v>1214.9572154599114</v>
      </c>
      <c r="D35" s="123"/>
      <c r="F35" s="123"/>
    </row>
    <row r="36" spans="2:6" ht="12.75">
      <c r="B36">
        <v>16</v>
      </c>
      <c r="C36" s="123">
        <f t="shared" si="5"/>
        <v>1205.845036343962</v>
      </c>
      <c r="D36" s="123"/>
      <c r="F36" s="123"/>
    </row>
    <row r="37" spans="2:6" ht="12.75">
      <c r="B37">
        <v>17</v>
      </c>
      <c r="C37" s="123">
        <f t="shared" si="5"/>
        <v>1196.8011985713822</v>
      </c>
      <c r="D37" s="123"/>
      <c r="F37" s="123"/>
    </row>
    <row r="38" spans="2:6" ht="12.75">
      <c r="B38">
        <v>18</v>
      </c>
      <c r="C38" s="123">
        <f t="shared" si="5"/>
        <v>1187.8251895820968</v>
      </c>
      <c r="D38" s="123"/>
      <c r="F38" s="123"/>
    </row>
    <row r="39" spans="2:6" ht="12.75">
      <c r="B39">
        <v>19</v>
      </c>
      <c r="C39" s="123">
        <f t="shared" si="5"/>
        <v>1178.9165006602311</v>
      </c>
      <c r="D39" s="123"/>
      <c r="F39" s="123"/>
    </row>
    <row r="40" spans="2:6" ht="12.75">
      <c r="B40">
        <v>20</v>
      </c>
      <c r="C40" s="123">
        <f t="shared" si="5"/>
        <v>1170.0746269052795</v>
      </c>
      <c r="D40" s="123"/>
      <c r="F40" s="123"/>
    </row>
    <row r="41" spans="2:4" ht="12.75">
      <c r="B41" s="224" t="s">
        <v>352</v>
      </c>
      <c r="C41" s="225">
        <f>AVERAGE(C21:C40)</f>
        <v>1258.0062186434027</v>
      </c>
      <c r="D41" s="123"/>
    </row>
    <row r="42" spans="2:4" ht="12.75">
      <c r="B42" s="195" t="s">
        <v>354</v>
      </c>
      <c r="C42" s="222">
        <f>(C21-C40)/C21</f>
        <v>0.1332780541442374</v>
      </c>
      <c r="D42" s="223"/>
    </row>
    <row r="44" ht="12.75">
      <c r="B44" t="s">
        <v>355</v>
      </c>
    </row>
    <row r="45" spans="2:10" ht="12.75">
      <c r="B45" t="s">
        <v>357</v>
      </c>
      <c r="C45">
        <v>7.5</v>
      </c>
      <c r="D45" t="s">
        <v>356</v>
      </c>
      <c r="E45" s="123">
        <f>C45*365</f>
        <v>2737.5</v>
      </c>
      <c r="F45" t="s">
        <v>263</v>
      </c>
      <c r="H45" t="s">
        <v>358</v>
      </c>
      <c r="J45" t="s">
        <v>359</v>
      </c>
    </row>
  </sheetData>
  <sheetProtection password="DC79" sheet="1" objects="1" scenarios="1"/>
  <mergeCells count="1">
    <mergeCell ref="A1:N1"/>
  </mergeCells>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FSEC</dc:creator>
  <cp:keywords/>
  <dc:description/>
  <cp:lastModifiedBy>P.Fairey</cp:lastModifiedBy>
  <cp:lastPrinted>2008-01-02T16:05:46Z</cp:lastPrinted>
  <dcterms:created xsi:type="dcterms:W3CDTF">2007-11-19T14:18:28Z</dcterms:created>
  <dcterms:modified xsi:type="dcterms:W3CDTF">2008-01-30T19:14:04Z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